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https://netorgft3210821-my.sharepoint.com/personal/carial_clearwaterfinancial_biz/Documents/aClearwater Financial/Clients/Eastern Idaho Regional Solid Waste District/RFP/"/>
    </mc:Choice>
  </mc:AlternateContent>
  <xr:revisionPtr revIDLastSave="0" documentId="8_{89F95BF7-8BE9-4002-A653-5A7236755DEA}" xr6:coauthVersionLast="47" xr6:coauthVersionMax="47" xr10:uidLastSave="{00000000-0000-0000-0000-000000000000}"/>
  <bookViews>
    <workbookView xWindow="-14145" yWindow="-16365" windowWidth="29040" windowHeight="15840" tabRatio="930" firstSheet="3" activeTab="12" xr2:uid="{5CA31A67-53BA-468D-B23B-5CCA2878BEDD}"/>
  </bookViews>
  <sheets>
    <sheet name="Model Run" sheetId="94" r:id="rId1"/>
    <sheet name="Inputs" sheetId="9" r:id="rId2"/>
    <sheet name="Forecast_Summary" sheetId="72" r:id="rId3"/>
    <sheet name="Forecast_Landfill" sheetId="42" r:id="rId4"/>
    <sheet name="Forecast_Hauling" sheetId="71" r:id="rId5"/>
    <sheet name="Capital Reserve Account" sheetId="46" r:id="rId6"/>
    <sheet name="Closure &amp; PostClosure Account" sheetId="54" r:id="rId7"/>
    <sheet name="Capital Improvements Schedule" sheetId="45" r:id="rId8"/>
    <sheet name="Short-Lived Assets Schedule " sheetId="85" r:id="rId9"/>
    <sheet name="Short-Lived Assets Landfill" sheetId="86" r:id="rId10"/>
    <sheet name="Short-Lived Assets Hauling" sheetId="87" r:id="rId11"/>
    <sheet name="2 Yr-Interim" sheetId="88" state="hidden" r:id="rId12"/>
    <sheet name="40-Year Bond" sheetId="89" r:id="rId13"/>
    <sheet name="Capitol Costs" sheetId="95" r:id="rId14"/>
    <sheet name="APRA Eligible Expenses" sheetId="96" r:id="rId15"/>
    <sheet name="Post-Closure Costs" sheetId="59" r:id="rId16"/>
    <sheet name="Closure costs" sheetId="68" r:id="rId17"/>
    <sheet name="Cell A Costs" sheetId="60" r:id="rId18"/>
    <sheet name="Support Facilities Earthwork" sheetId="65" r:id="rId19"/>
    <sheet name="Cell B Costs" sheetId="61" r:id="rId20"/>
    <sheet name="Cell C Costs" sheetId="62" r:id="rId21"/>
    <sheet name="Cell D Costs" sheetId="63" r:id="rId22"/>
    <sheet name="Salary - Landfill" sheetId="80" r:id="rId23"/>
    <sheet name="Salary - Hauling" sheetId="90" r:id="rId24"/>
    <sheet name="Hauling Mileages" sheetId="91" r:id="rId25"/>
    <sheet name="Madison Hauling Costs" sheetId="93" r:id="rId26"/>
    <sheet name="Updated Equipment Summary" sheetId="92" r:id="rId27"/>
    <sheet name="Life Cycle" sheetId="78" r:id="rId28"/>
    <sheet name="Tons" sheetId="79" r:id="rId29"/>
  </sheets>
  <definedNames>
    <definedName name="Array.Capital_Improvement_Construction_Cost">'Capital Improvements Schedule'!$H$4:$H$28</definedName>
    <definedName name="Array.Capital_Improvement_Engineering_Cost">'Capital Improvements Schedule'!$K$4:$K$28</definedName>
    <definedName name="Check">Forecast_Summary!$A$215</definedName>
    <definedName name="End_Capital_Reserve_Account">'Capital Reserve Account'!$D$50</definedName>
    <definedName name="End_Closure_Account">'Closure &amp; PostClosure Account'!$D$83</definedName>
    <definedName name="End_ERR_Hauling" localSheetId="10">'Short-Lived Assets Hauling'!$D$50</definedName>
    <definedName name="End_ERR_Landfill" localSheetId="9">'Short-Lived Assets Landfill'!$D$50</definedName>
    <definedName name="Expenses_Hauling">Forecast_Hauling!$D$30:$AU$30</definedName>
    <definedName name="Expenses_Landfill">Forecast_Landfill!$D$35:$AU$35</definedName>
    <definedName name="Hauling_Subsidy">Inputs!$B$7</definedName>
    <definedName name="Inf">Inputs!$B$5</definedName>
    <definedName name="Interest_LGIP">Inputs!$B$6</definedName>
    <definedName name="Minimum_Fund_Balance_Hauling">Inputs!#REF!</definedName>
    <definedName name="Minimum_Fund_Balance_Landfill">Inputs!#REF!</definedName>
    <definedName name="_xlnm.Print_Area" localSheetId="19">'Cell B Costs'!$A$1:$J$38</definedName>
    <definedName name="_xlnm.Print_Area" localSheetId="20">'Cell C Costs'!$A$1:$J$38</definedName>
    <definedName name="_xlnm.Print_Area" localSheetId="21">'Cell D Costs'!$A$1:$J$38</definedName>
    <definedName name="_xlnm.Print_Area" localSheetId="2">Forecast_Summary!$A$1:$AU$42</definedName>
    <definedName name="_xlnm.Print_Area" localSheetId="27">'Life Cycle'!$A$2:$G$60</definedName>
    <definedName name="_xlnm.Print_Area" localSheetId="18">'Support Facilities Earthwork'!$A$1:$J$45</definedName>
    <definedName name="Revenue_Hauling">Forecast_Hauling!$D$13:$AU$13</definedName>
    <definedName name="Revenue_Landfill">Forecast_Landfill!$D$7:$AU$7</definedName>
    <definedName name="solver_eng" localSheetId="3" hidden="1">1</definedName>
    <definedName name="solver_neg" localSheetId="3" hidden="1">1</definedName>
    <definedName name="solver_num" localSheetId="3" hidden="1">0</definedName>
    <definedName name="solver_opt" localSheetId="3" hidden="1">Forecast_Landfill!$W$45</definedName>
    <definedName name="solver_typ" localSheetId="3" hidden="1">1</definedName>
    <definedName name="solver_val" localSheetId="3" hidden="1">0</definedName>
    <definedName name="solver_ver" localSheetId="3" hidden="1">3</definedName>
    <definedName name="Start_Capital_Reserve_Account">'Capital Reserve Account'!$E$8</definedName>
    <definedName name="Start_Closure_Account">'Closure &amp; PostClosure Account'!$E$10</definedName>
    <definedName name="Start_ERR_Hauling" localSheetId="10">'Short-Lived Assets Hauling'!$E$8</definedName>
    <definedName name="Start_ERR_Landfill" localSheetId="9">'Short-Lived Assets Landfill'!$E$8</definedName>
    <definedName name="Table.Capital_Improvement_Construction">'Capital Improvements Schedule'!$E$4:$H$28</definedName>
    <definedName name="Table.Capital_Improvement_Engineering">'Capital Improvements Schedule'!$J$4:$K$28</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0" i="72" l="1"/>
  <c r="E32" i="72"/>
  <c r="E22" i="72"/>
  <c r="F22" i="72"/>
  <c r="G22" i="72"/>
  <c r="H22" i="72"/>
  <c r="I22" i="72"/>
  <c r="J22" i="72"/>
  <c r="K22" i="72"/>
  <c r="L22" i="72"/>
  <c r="M22" i="72"/>
  <c r="N22" i="72"/>
  <c r="O22" i="72"/>
  <c r="P22" i="72"/>
  <c r="Q22" i="72"/>
  <c r="R22" i="72"/>
  <c r="S22" i="72"/>
  <c r="T22" i="72"/>
  <c r="U22" i="72"/>
  <c r="V22" i="72"/>
  <c r="W22" i="72"/>
  <c r="X22" i="72"/>
  <c r="Y22" i="72"/>
  <c r="Z22" i="72"/>
  <c r="AA22" i="72"/>
  <c r="AB22" i="72"/>
  <c r="AC22" i="72"/>
  <c r="AD22" i="72"/>
  <c r="AE22" i="72"/>
  <c r="AF22" i="72"/>
  <c r="AG22" i="72"/>
  <c r="AH22" i="72"/>
  <c r="AI22" i="72"/>
  <c r="AJ22" i="72"/>
  <c r="AK22" i="72"/>
  <c r="AL22" i="72"/>
  <c r="AM22" i="72"/>
  <c r="AN22" i="72"/>
  <c r="AO22" i="72"/>
  <c r="AP22" i="72"/>
  <c r="AQ22" i="72"/>
  <c r="AR22" i="72"/>
  <c r="AS22" i="72"/>
  <c r="AT22" i="72"/>
  <c r="AU22" i="72"/>
  <c r="C60" i="78"/>
  <c r="D22" i="72"/>
  <c r="D36" i="72"/>
  <c r="D35" i="72"/>
  <c r="H5" i="96"/>
  <c r="K5" i="96" s="1"/>
  <c r="H6" i="96"/>
  <c r="I6" i="96"/>
  <c r="K6" i="96"/>
  <c r="L6" i="96"/>
  <c r="M6" i="96"/>
  <c r="N6" i="96"/>
  <c r="E6" i="96" s="1"/>
  <c r="H7" i="96"/>
  <c r="K7" i="96" s="1"/>
  <c r="I7" i="96"/>
  <c r="K8" i="96"/>
  <c r="L8" i="96" s="1"/>
  <c r="H9" i="96"/>
  <c r="K9" i="96" s="1"/>
  <c r="K12" i="96"/>
  <c r="L12" i="96" s="1"/>
  <c r="K13" i="96"/>
  <c r="L13" i="96"/>
  <c r="M13" i="96" s="1"/>
  <c r="N13" i="96" s="1"/>
  <c r="K14" i="96"/>
  <c r="L14" i="96"/>
  <c r="M14" i="96"/>
  <c r="N14" i="96"/>
  <c r="H15" i="96"/>
  <c r="K15" i="96"/>
  <c r="N15" i="96" s="1"/>
  <c r="L15" i="96"/>
  <c r="M15" i="96"/>
  <c r="K16" i="96"/>
  <c r="L16" i="96" s="1"/>
  <c r="H18" i="96"/>
  <c r="J18" i="96"/>
  <c r="K18" i="96"/>
  <c r="L18" i="96"/>
  <c r="M18" i="96"/>
  <c r="N18" i="96"/>
  <c r="H19" i="96"/>
  <c r="I19" i="96"/>
  <c r="K19" i="96"/>
  <c r="L19" i="96" s="1"/>
  <c r="K20" i="96"/>
  <c r="L20" i="96" s="1"/>
  <c r="H22" i="96"/>
  <c r="H23" i="96" s="1"/>
  <c r="K23" i="96" s="1"/>
  <c r="J22" i="96"/>
  <c r="K22" i="96"/>
  <c r="L22" i="96"/>
  <c r="M22" i="96"/>
  <c r="N22" i="96"/>
  <c r="E22" i="96" s="1"/>
  <c r="I23" i="96"/>
  <c r="J23" i="96"/>
  <c r="H24" i="96"/>
  <c r="J24" i="96"/>
  <c r="K24" i="96"/>
  <c r="L24" i="96"/>
  <c r="M24" i="96"/>
  <c r="N24" i="96"/>
  <c r="H25" i="96"/>
  <c r="K25" i="96" s="1"/>
  <c r="I25" i="96"/>
  <c r="K26" i="96"/>
  <c r="L26" i="96" s="1"/>
  <c r="E29" i="96"/>
  <c r="E32" i="96"/>
  <c r="H36" i="96"/>
  <c r="H37" i="96" s="1"/>
  <c r="K36" i="96"/>
  <c r="L36" i="96" s="1"/>
  <c r="I37" i="96"/>
  <c r="I38" i="96"/>
  <c r="K39" i="96"/>
  <c r="L39" i="96"/>
  <c r="M39" i="96" s="1"/>
  <c r="N39" i="96" s="1"/>
  <c r="H40" i="96"/>
  <c r="K40" i="96" s="1"/>
  <c r="H48" i="96"/>
  <c r="H49" i="96" s="1"/>
  <c r="K49" i="96" s="1"/>
  <c r="K48" i="96"/>
  <c r="M48" i="96" s="1"/>
  <c r="L48" i="96"/>
  <c r="I49" i="96"/>
  <c r="L40" i="96" l="1"/>
  <c r="M40" i="96" s="1"/>
  <c r="L9" i="96"/>
  <c r="M9" i="96"/>
  <c r="N9" i="96"/>
  <c r="L25" i="96"/>
  <c r="M25" i="96"/>
  <c r="N25" i="96" s="1"/>
  <c r="N28" i="96" s="1"/>
  <c r="E24" i="96" s="1"/>
  <c r="L23" i="96"/>
  <c r="M23" i="96"/>
  <c r="N23" i="96"/>
  <c r="E23" i="96" s="1"/>
  <c r="L49" i="96"/>
  <c r="N8" i="96"/>
  <c r="L7" i="96"/>
  <c r="M7" i="96"/>
  <c r="N7" i="96" s="1"/>
  <c r="E7" i="96" s="1"/>
  <c r="M16" i="96"/>
  <c r="N16" i="96"/>
  <c r="H38" i="96"/>
  <c r="K38" i="96" s="1"/>
  <c r="K37" i="96"/>
  <c r="M26" i="96"/>
  <c r="N26" i="96" s="1"/>
  <c r="L5" i="96"/>
  <c r="M5" i="96"/>
  <c r="N5" i="96"/>
  <c r="E5" i="96" s="1"/>
  <c r="M8" i="96"/>
  <c r="M20" i="96"/>
  <c r="N20" i="96" s="1"/>
  <c r="M12" i="96"/>
  <c r="N12" i="96" s="1"/>
  <c r="N17" i="96" s="1"/>
  <c r="E11" i="96" s="1"/>
  <c r="N48" i="96"/>
  <c r="E48" i="96" s="1"/>
  <c r="M19" i="96"/>
  <c r="N19" i="96" s="1"/>
  <c r="N21" i="96" s="1"/>
  <c r="E18" i="96" s="1"/>
  <c r="M36" i="96"/>
  <c r="N36" i="96" s="1"/>
  <c r="E36" i="96" s="1"/>
  <c r="G13" i="72"/>
  <c r="G20" i="72" a="1"/>
  <c r="G20" i="72" s="1"/>
  <c r="F10" i="72"/>
  <c r="F13" i="72" s="1"/>
  <c r="D54" i="72"/>
  <c r="D55" i="72"/>
  <c r="D56" i="72"/>
  <c r="D53" i="72"/>
  <c r="E50" i="72"/>
  <c r="D48" i="72"/>
  <c r="D49" i="72"/>
  <c r="D50" i="72"/>
  <c r="D47" i="72"/>
  <c r="E47" i="42"/>
  <c r="E48" i="72" s="1"/>
  <c r="E48" i="42"/>
  <c r="E49" i="72" s="1"/>
  <c r="E46" i="42"/>
  <c r="E47" i="72" s="1"/>
  <c r="F35" i="78"/>
  <c r="F36" i="78" s="1"/>
  <c r="F34" i="78"/>
  <c r="E3" i="72"/>
  <c r="C26" i="85"/>
  <c r="C12" i="94"/>
  <c r="E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E19" i="42"/>
  <c r="F25" i="42"/>
  <c r="F19" i="72"/>
  <c r="F9" i="72"/>
  <c r="F8" i="72"/>
  <c r="D10" i="72"/>
  <c r="D13" i="72" s="1"/>
  <c r="D9" i="72"/>
  <c r="D8" i="72"/>
  <c r="F36" i="71"/>
  <c r="G33" i="71"/>
  <c r="H33" i="71"/>
  <c r="I33" i="71"/>
  <c r="J33" i="71"/>
  <c r="K33" i="71"/>
  <c r="L33" i="71"/>
  <c r="M33" i="71"/>
  <c r="N33" i="71"/>
  <c r="O33" i="71"/>
  <c r="P33" i="71"/>
  <c r="Q33" i="71"/>
  <c r="R33" i="71"/>
  <c r="S33" i="71"/>
  <c r="T33" i="71"/>
  <c r="U33" i="71"/>
  <c r="V33" i="71"/>
  <c r="W33" i="71"/>
  <c r="X33" i="71"/>
  <c r="Y33" i="71"/>
  <c r="Z33" i="71"/>
  <c r="AA33" i="71"/>
  <c r="AB33" i="71"/>
  <c r="AC33" i="71"/>
  <c r="AD33" i="71"/>
  <c r="AE33" i="71"/>
  <c r="AF33" i="71"/>
  <c r="AG33" i="71"/>
  <c r="AH33" i="71"/>
  <c r="AI33" i="71"/>
  <c r="AJ33" i="71"/>
  <c r="AK33" i="71"/>
  <c r="AL33" i="71"/>
  <c r="AM33" i="71"/>
  <c r="AN33" i="71"/>
  <c r="AO33" i="71"/>
  <c r="AP33" i="71"/>
  <c r="AQ33" i="71"/>
  <c r="AR33" i="71"/>
  <c r="AS33" i="71"/>
  <c r="AT33" i="71"/>
  <c r="AU33" i="71"/>
  <c r="G34" i="71"/>
  <c r="H34" i="71"/>
  <c r="I34" i="71"/>
  <c r="J34" i="71"/>
  <c r="K34" i="71"/>
  <c r="L34" i="71"/>
  <c r="M34" i="71"/>
  <c r="N34" i="71"/>
  <c r="O34" i="71"/>
  <c r="P34" i="71"/>
  <c r="Q34" i="71"/>
  <c r="R34" i="71"/>
  <c r="S34" i="71"/>
  <c r="T34" i="71"/>
  <c r="U34" i="71"/>
  <c r="V34" i="71"/>
  <c r="W34" i="71"/>
  <c r="X34" i="71"/>
  <c r="Y34" i="71"/>
  <c r="Z34" i="71"/>
  <c r="AA34" i="71"/>
  <c r="AB34" i="71"/>
  <c r="AC34" i="71"/>
  <c r="AD34" i="71"/>
  <c r="AE34" i="71"/>
  <c r="AF34" i="71"/>
  <c r="AG34" i="71"/>
  <c r="AH34" i="71"/>
  <c r="AI34" i="71"/>
  <c r="AJ34" i="71"/>
  <c r="AK34" i="71"/>
  <c r="AL34" i="71"/>
  <c r="AM34" i="71"/>
  <c r="AN34" i="71"/>
  <c r="AO34" i="71"/>
  <c r="AP34" i="71"/>
  <c r="AQ34" i="71"/>
  <c r="AR34" i="71"/>
  <c r="AS34" i="71"/>
  <c r="AT34" i="71"/>
  <c r="AU34" i="71"/>
  <c r="G35" i="71"/>
  <c r="H35" i="71"/>
  <c r="I35" i="71"/>
  <c r="J35" i="71"/>
  <c r="K35" i="71"/>
  <c r="L35" i="71"/>
  <c r="M35" i="71"/>
  <c r="N35" i="71"/>
  <c r="O35" i="71"/>
  <c r="P35" i="71"/>
  <c r="Q35" i="71"/>
  <c r="R35" i="71"/>
  <c r="S35" i="71"/>
  <c r="T35" i="71"/>
  <c r="U35" i="71"/>
  <c r="V35" i="71"/>
  <c r="W35" i="71"/>
  <c r="X35" i="71"/>
  <c r="Y35" i="71"/>
  <c r="Z35" i="71"/>
  <c r="AA35" i="71"/>
  <c r="AB35" i="71"/>
  <c r="AC35" i="71"/>
  <c r="AD35" i="71"/>
  <c r="AE35" i="71"/>
  <c r="AF35" i="71"/>
  <c r="AG35" i="71"/>
  <c r="AH35" i="71"/>
  <c r="AI35" i="71"/>
  <c r="AJ35" i="71"/>
  <c r="AK35" i="71"/>
  <c r="AL35" i="71"/>
  <c r="AM35" i="71"/>
  <c r="AN35" i="71"/>
  <c r="AO35" i="71"/>
  <c r="AP35" i="71"/>
  <c r="AQ35" i="71"/>
  <c r="AR35" i="71"/>
  <c r="AS35" i="71"/>
  <c r="AT35" i="71"/>
  <c r="AU35" i="71"/>
  <c r="G36" i="71"/>
  <c r="H36" i="71"/>
  <c r="I36" i="71"/>
  <c r="J36" i="71"/>
  <c r="K36" i="71"/>
  <c r="L36" i="71"/>
  <c r="M36" i="71"/>
  <c r="N36" i="71"/>
  <c r="O36" i="71"/>
  <c r="P36" i="71"/>
  <c r="Q36" i="71"/>
  <c r="R36" i="71"/>
  <c r="S36" i="71"/>
  <c r="T36" i="71"/>
  <c r="U36" i="71"/>
  <c r="V36" i="71"/>
  <c r="W36" i="71"/>
  <c r="X36" i="71"/>
  <c r="Y36" i="71"/>
  <c r="Z36" i="71"/>
  <c r="AA36" i="71"/>
  <c r="AB36" i="71"/>
  <c r="AC36" i="71"/>
  <c r="AD36" i="71"/>
  <c r="AE36" i="71"/>
  <c r="AF36" i="71"/>
  <c r="AG36" i="71"/>
  <c r="AH36" i="71"/>
  <c r="AI36" i="71"/>
  <c r="AJ36" i="71"/>
  <c r="AK36" i="71"/>
  <c r="AL36" i="71"/>
  <c r="AM36" i="71"/>
  <c r="AN36" i="71"/>
  <c r="AO36" i="71"/>
  <c r="AP36" i="71"/>
  <c r="AQ36" i="71"/>
  <c r="AR36" i="71"/>
  <c r="AS36" i="71"/>
  <c r="AT36" i="71"/>
  <c r="AU36" i="71"/>
  <c r="F35" i="71"/>
  <c r="F34" i="71"/>
  <c r="F33" i="71"/>
  <c r="E35" i="71"/>
  <c r="E34" i="71"/>
  <c r="E33" i="71"/>
  <c r="D11" i="71"/>
  <c r="D12" i="71" s="1"/>
  <c r="D34" i="42"/>
  <c r="AL20" i="72" l="1"/>
  <c r="V20" i="72"/>
  <c r="E46" i="72"/>
  <c r="L38" i="96"/>
  <c r="L37" i="96"/>
  <c r="N40" i="96"/>
  <c r="N41" i="96" s="1"/>
  <c r="E39" i="96" s="1"/>
  <c r="N10" i="96"/>
  <c r="E8" i="96" s="1"/>
  <c r="E26" i="96" s="1"/>
  <c r="M49" i="96"/>
  <c r="N49" i="96" s="1"/>
  <c r="E49" i="96" s="1"/>
  <c r="AK20" i="72"/>
  <c r="U20" i="72"/>
  <c r="AJ20" i="72"/>
  <c r="T20" i="72"/>
  <c r="AI20" i="72"/>
  <c r="S20" i="72"/>
  <c r="AH20" i="72"/>
  <c r="R20" i="72"/>
  <c r="AG20" i="72"/>
  <c r="Q20" i="72"/>
  <c r="AF20" i="72"/>
  <c r="P20" i="72"/>
  <c r="AE20" i="72"/>
  <c r="O20" i="72"/>
  <c r="AT20" i="72"/>
  <c r="AD20" i="72"/>
  <c r="N20" i="72"/>
  <c r="AS20" i="72"/>
  <c r="AC20" i="72"/>
  <c r="M20" i="72"/>
  <c r="AR20" i="72"/>
  <c r="AB20" i="72"/>
  <c r="L20" i="72"/>
  <c r="AQ20" i="72"/>
  <c r="AA20" i="72"/>
  <c r="K20" i="72"/>
  <c r="AP20" i="72"/>
  <c r="Z20" i="72"/>
  <c r="J20" i="72"/>
  <c r="AO20" i="72"/>
  <c r="Y20" i="72"/>
  <c r="I20" i="72"/>
  <c r="AN20" i="72"/>
  <c r="X20" i="72"/>
  <c r="H20" i="72"/>
  <c r="AM20" i="72"/>
  <c r="W20" i="72"/>
  <c r="F27" i="78"/>
  <c r="F26" i="78"/>
  <c r="G15" i="79"/>
  <c r="C19" i="78" s="1"/>
  <c r="G14" i="79"/>
  <c r="E39" i="42" s="1"/>
  <c r="E33" i="42" s="1"/>
  <c r="G39" i="42"/>
  <c r="G33" i="42" s="1"/>
  <c r="H39" i="42"/>
  <c r="H33" i="42" s="1"/>
  <c r="I39" i="42"/>
  <c r="I33" i="42" s="1"/>
  <c r="J39" i="42"/>
  <c r="J33" i="42" s="1"/>
  <c r="K39" i="42"/>
  <c r="K33" i="42" s="1"/>
  <c r="L39" i="42"/>
  <c r="L33" i="42" s="1"/>
  <c r="M39" i="42"/>
  <c r="M33" i="42" s="1"/>
  <c r="N39" i="42"/>
  <c r="N33" i="42" s="1"/>
  <c r="O39" i="42"/>
  <c r="O33" i="42" s="1"/>
  <c r="P39" i="42"/>
  <c r="P33" i="42" s="1"/>
  <c r="Q39" i="42"/>
  <c r="Q33" i="42" s="1"/>
  <c r="R39" i="42"/>
  <c r="R33" i="42" s="1"/>
  <c r="S39" i="42"/>
  <c r="S33" i="42" s="1"/>
  <c r="T39" i="42"/>
  <c r="T33" i="42" s="1"/>
  <c r="U39" i="42"/>
  <c r="U33" i="42" s="1"/>
  <c r="V39" i="42"/>
  <c r="V33" i="42" s="1"/>
  <c r="W39" i="42"/>
  <c r="W33" i="42" s="1"/>
  <c r="X39" i="42"/>
  <c r="X33" i="42" s="1"/>
  <c r="Y39" i="42"/>
  <c r="Y33" i="42" s="1"/>
  <c r="Z39" i="42"/>
  <c r="Z33" i="42" s="1"/>
  <c r="AA39" i="42"/>
  <c r="AA33" i="42" s="1"/>
  <c r="AB39" i="42"/>
  <c r="AB33" i="42" s="1"/>
  <c r="AC39" i="42"/>
  <c r="AC33" i="42" s="1"/>
  <c r="AD39" i="42"/>
  <c r="AD33" i="42" s="1"/>
  <c r="AE39" i="42"/>
  <c r="AE33" i="42" s="1"/>
  <c r="AF39" i="42"/>
  <c r="AF33" i="42" s="1"/>
  <c r="AG39" i="42"/>
  <c r="AG33" i="42" s="1"/>
  <c r="AH39" i="42"/>
  <c r="AH33" i="42" s="1"/>
  <c r="AI39" i="42"/>
  <c r="AI33" i="42" s="1"/>
  <c r="AJ39" i="42"/>
  <c r="AJ33" i="42" s="1"/>
  <c r="AK39" i="42"/>
  <c r="AK33" i="42" s="1"/>
  <c r="AL39" i="42"/>
  <c r="AL33" i="42" s="1"/>
  <c r="AM39" i="42"/>
  <c r="AM33" i="42" s="1"/>
  <c r="AN39" i="42"/>
  <c r="AN33" i="42" s="1"/>
  <c r="AO39" i="42"/>
  <c r="AO33" i="42" s="1"/>
  <c r="AP39" i="42"/>
  <c r="AP33" i="42" s="1"/>
  <c r="AQ39" i="42"/>
  <c r="AQ33" i="42" s="1"/>
  <c r="AR39" i="42"/>
  <c r="AR33" i="42" s="1"/>
  <c r="AS39" i="42"/>
  <c r="AS33" i="42" s="1"/>
  <c r="AT39" i="42"/>
  <c r="AT33" i="42" s="1"/>
  <c r="AU39" i="42"/>
  <c r="AU33" i="42" s="1"/>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18" i="78"/>
  <c r="D31" i="42"/>
  <c r="E33" i="96" l="1"/>
  <c r="N37" i="96"/>
  <c r="E37" i="96" s="1"/>
  <c r="M37" i="96"/>
  <c r="M38" i="96"/>
  <c r="N38" i="96" s="1"/>
  <c r="E38" i="96" s="1"/>
  <c r="AR11" i="71"/>
  <c r="AR12" i="71" s="1"/>
  <c r="AR34" i="42"/>
  <c r="H34" i="42"/>
  <c r="H11" i="71"/>
  <c r="H12" i="71" s="1"/>
  <c r="AP11" i="71"/>
  <c r="AP12" i="71" s="1"/>
  <c r="AP34" i="42"/>
  <c r="AD34" i="42"/>
  <c r="AD11" i="71"/>
  <c r="AD12" i="71" s="1"/>
  <c r="R34" i="42"/>
  <c r="R11" i="71"/>
  <c r="R12" i="71" s="1"/>
  <c r="AO11" i="71"/>
  <c r="AO12" i="71" s="1"/>
  <c r="AO34" i="42"/>
  <c r="AC34" i="42"/>
  <c r="AC11" i="71"/>
  <c r="AC12" i="71" s="1"/>
  <c r="Q34" i="42"/>
  <c r="Q11" i="71"/>
  <c r="Q12" i="71" s="1"/>
  <c r="AS34" i="42"/>
  <c r="AS11" i="71"/>
  <c r="AS12" i="71" s="1"/>
  <c r="AQ11" i="71"/>
  <c r="AQ12" i="71" s="1"/>
  <c r="AQ34" i="42"/>
  <c r="G34" i="42"/>
  <c r="G11" i="71"/>
  <c r="G12" i="71" s="1"/>
  <c r="AB11" i="71"/>
  <c r="AB12" i="71" s="1"/>
  <c r="AB34" i="42"/>
  <c r="P34" i="42"/>
  <c r="P11" i="71"/>
  <c r="P12" i="71" s="1"/>
  <c r="AM34" i="42"/>
  <c r="AM11" i="71"/>
  <c r="AM12" i="71" s="1"/>
  <c r="AA11" i="71"/>
  <c r="AA12" i="71" s="1"/>
  <c r="AA34" i="42"/>
  <c r="O11" i="71"/>
  <c r="O12" i="71" s="1"/>
  <c r="O34" i="42"/>
  <c r="U34" i="42"/>
  <c r="U11" i="71"/>
  <c r="U12" i="71" s="1"/>
  <c r="T34" i="42"/>
  <c r="T11" i="71"/>
  <c r="T12" i="71" s="1"/>
  <c r="S34" i="42"/>
  <c r="S11" i="71"/>
  <c r="S12" i="71" s="1"/>
  <c r="AL11" i="71"/>
  <c r="AL12" i="71" s="1"/>
  <c r="AL34" i="42"/>
  <c r="N11" i="71"/>
  <c r="N12" i="71" s="1"/>
  <c r="N34" i="42"/>
  <c r="AK11" i="71"/>
  <c r="AK12" i="71" s="1"/>
  <c r="AK34" i="42"/>
  <c r="Y11" i="71"/>
  <c r="Y12" i="71" s="1"/>
  <c r="Y34" i="42"/>
  <c r="M11" i="71"/>
  <c r="M12" i="71" s="1"/>
  <c r="M34" i="42"/>
  <c r="I34" i="42"/>
  <c r="I11" i="71"/>
  <c r="I12" i="71" s="1"/>
  <c r="AF34" i="42"/>
  <c r="AF11" i="71"/>
  <c r="AF12" i="71" s="1"/>
  <c r="AE34" i="42"/>
  <c r="AE11" i="71"/>
  <c r="AE12" i="71" s="1"/>
  <c r="AN34" i="42"/>
  <c r="AN11" i="71"/>
  <c r="AN12" i="71" s="1"/>
  <c r="Z11" i="71"/>
  <c r="Z12" i="71" s="1"/>
  <c r="Z34" i="42"/>
  <c r="AJ11" i="71"/>
  <c r="AJ12" i="71" s="1"/>
  <c r="AJ34" i="42"/>
  <c r="X34" i="42"/>
  <c r="X11" i="71"/>
  <c r="X12" i="71" s="1"/>
  <c r="L11" i="71"/>
  <c r="L12" i="71" s="1"/>
  <c r="L34" i="42"/>
  <c r="AG34" i="42"/>
  <c r="AG11" i="71"/>
  <c r="AG12" i="71" s="1"/>
  <c r="AU34" i="42"/>
  <c r="AU11" i="71"/>
  <c r="AU12" i="71" s="1"/>
  <c r="AI34" i="42"/>
  <c r="AI11" i="71"/>
  <c r="AI12" i="71" s="1"/>
  <c r="W34" i="42"/>
  <c r="W11" i="71"/>
  <c r="W12" i="71" s="1"/>
  <c r="K34" i="42"/>
  <c r="K11" i="71"/>
  <c r="K12" i="71" s="1"/>
  <c r="AT34" i="42"/>
  <c r="AT11" i="71"/>
  <c r="AT12" i="71" s="1"/>
  <c r="AH34" i="42"/>
  <c r="AH11" i="71"/>
  <c r="AH12" i="71" s="1"/>
  <c r="V11" i="71"/>
  <c r="V12" i="71" s="1"/>
  <c r="V34" i="42"/>
  <c r="J34" i="42"/>
  <c r="J11" i="71"/>
  <c r="J12" i="71" s="1"/>
  <c r="E34" i="42"/>
  <c r="E11" i="71"/>
  <c r="E12" i="71" s="1"/>
  <c r="F39" i="42"/>
  <c r="F33" i="42" s="1"/>
  <c r="F38" i="72"/>
  <c r="G38" i="72"/>
  <c r="H38" i="72"/>
  <c r="I38" i="72"/>
  <c r="J38" i="72"/>
  <c r="K38" i="72"/>
  <c r="L38" i="72"/>
  <c r="M38" i="72"/>
  <c r="N38" i="72"/>
  <c r="O38" i="72"/>
  <c r="P38" i="72"/>
  <c r="Q38" i="72"/>
  <c r="R38" i="72"/>
  <c r="S38" i="72"/>
  <c r="T38" i="72"/>
  <c r="U38" i="72"/>
  <c r="V38" i="72"/>
  <c r="W38" i="72"/>
  <c r="X38" i="72"/>
  <c r="Y38" i="72"/>
  <c r="Z38" i="72"/>
  <c r="AA38" i="72"/>
  <c r="AB38" i="72"/>
  <c r="AC38" i="72"/>
  <c r="AD38" i="72"/>
  <c r="AE38" i="72"/>
  <c r="AF38" i="72"/>
  <c r="AG38" i="72"/>
  <c r="AH38" i="72"/>
  <c r="AI38" i="72"/>
  <c r="AJ38" i="72"/>
  <c r="AK38" i="72"/>
  <c r="AL38" i="72"/>
  <c r="AM38" i="72"/>
  <c r="AN38" i="72"/>
  <c r="AO38" i="72"/>
  <c r="AP38" i="72"/>
  <c r="AQ38" i="72"/>
  <c r="AR38" i="72"/>
  <c r="AS38" i="72"/>
  <c r="AT38" i="72"/>
  <c r="AU38" i="72"/>
  <c r="E34" i="72"/>
  <c r="E33" i="72"/>
  <c r="E31" i="72"/>
  <c r="E30" i="72"/>
  <c r="D29" i="72"/>
  <c r="D28" i="72"/>
  <c r="D27" i="72"/>
  <c r="D26" i="72"/>
  <c r="D25" i="72"/>
  <c r="D24" i="72"/>
  <c r="B41" i="85"/>
  <c r="H43" i="42"/>
  <c r="E3" i="90"/>
  <c r="E16" i="80"/>
  <c r="B25" i="80"/>
  <c r="N5" i="93"/>
  <c r="N6" i="93"/>
  <c r="N7" i="93"/>
  <c r="N4" i="93"/>
  <c r="M7" i="93"/>
  <c r="M6" i="93"/>
  <c r="M5" i="93"/>
  <c r="M4" i="93"/>
  <c r="L4" i="93"/>
  <c r="L5" i="93"/>
  <c r="L6" i="93"/>
  <c r="L7" i="93"/>
  <c r="L3" i="93"/>
  <c r="C21" i="94"/>
  <c r="C14" i="94"/>
  <c r="C17" i="94" s="1"/>
  <c r="C19" i="94" s="1"/>
  <c r="G7" i="93"/>
  <c r="I7" i="93" s="1"/>
  <c r="G6" i="93"/>
  <c r="I6" i="93" s="1"/>
  <c r="G5" i="93"/>
  <c r="I5" i="93" s="1"/>
  <c r="I8" i="93" s="1"/>
  <c r="I4" i="93"/>
  <c r="H5" i="93"/>
  <c r="H6" i="93"/>
  <c r="H7" i="93"/>
  <c r="H4" i="93"/>
  <c r="H8" i="93" s="1"/>
  <c r="R12" i="85"/>
  <c r="S12" i="85"/>
  <c r="R13" i="85"/>
  <c r="T13" i="85" s="1"/>
  <c r="S13" i="85"/>
  <c r="R14" i="85"/>
  <c r="S14" i="85"/>
  <c r="R15" i="85"/>
  <c r="S15" i="85"/>
  <c r="R16" i="85"/>
  <c r="S16" i="85"/>
  <c r="R17" i="85"/>
  <c r="T17" i="85" s="1"/>
  <c r="S17" i="85"/>
  <c r="R18" i="85"/>
  <c r="S18" i="85"/>
  <c r="R19" i="85"/>
  <c r="S19" i="85"/>
  <c r="R20" i="85"/>
  <c r="S20" i="85"/>
  <c r="R21" i="85"/>
  <c r="T21" i="85" s="1"/>
  <c r="S21" i="85"/>
  <c r="R22" i="85"/>
  <c r="S22" i="85"/>
  <c r="R23" i="85"/>
  <c r="S23" i="85"/>
  <c r="R24" i="85"/>
  <c r="S24" i="85"/>
  <c r="R25" i="85"/>
  <c r="S25" i="85"/>
  <c r="R26" i="85"/>
  <c r="S26" i="85"/>
  <c r="R27" i="85"/>
  <c r="S27" i="85"/>
  <c r="R28" i="85"/>
  <c r="S28" i="85"/>
  <c r="R29" i="85"/>
  <c r="T29" i="85" s="1"/>
  <c r="S29" i="85"/>
  <c r="R30" i="85"/>
  <c r="S30" i="85"/>
  <c r="R31" i="85"/>
  <c r="S31" i="85"/>
  <c r="R32" i="85"/>
  <c r="S32" i="85"/>
  <c r="R33" i="85"/>
  <c r="T33" i="85" s="1"/>
  <c r="S33" i="85"/>
  <c r="R34" i="85"/>
  <c r="S34" i="85"/>
  <c r="R35" i="85"/>
  <c r="S35" i="85"/>
  <c r="R36" i="85"/>
  <c r="S36" i="85"/>
  <c r="R37" i="85"/>
  <c r="T37" i="85" s="1"/>
  <c r="S37" i="85"/>
  <c r="R38" i="85"/>
  <c r="S38" i="85"/>
  <c r="R39" i="85"/>
  <c r="S39" i="85"/>
  <c r="R40" i="85"/>
  <c r="S40" i="85"/>
  <c r="R41" i="85"/>
  <c r="T41" i="85" s="1"/>
  <c r="S41" i="85"/>
  <c r="R42" i="85"/>
  <c r="S42" i="85"/>
  <c r="R43" i="85"/>
  <c r="S43" i="85"/>
  <c r="T43" i="85" s="1"/>
  <c r="R44" i="85"/>
  <c r="S44" i="85"/>
  <c r="R45" i="85"/>
  <c r="T45" i="85" s="1"/>
  <c r="S45" i="85"/>
  <c r="R46" i="85"/>
  <c r="T46" i="85" s="1"/>
  <c r="S46" i="85"/>
  <c r="R47" i="85"/>
  <c r="S47" i="85"/>
  <c r="S11" i="85"/>
  <c r="R11" i="85"/>
  <c r="T11" i="85" s="1"/>
  <c r="E41" i="85"/>
  <c r="G41" i="85" s="1"/>
  <c r="E40" i="85"/>
  <c r="C46" i="85" s="1"/>
  <c r="E39" i="85"/>
  <c r="G39" i="85" s="1"/>
  <c r="E38" i="85"/>
  <c r="G38" i="85" s="1"/>
  <c r="D38" i="85"/>
  <c r="D39" i="85"/>
  <c r="D40" i="85"/>
  <c r="D41" i="85"/>
  <c r="B38" i="85"/>
  <c r="B39" i="85"/>
  <c r="B40" i="85"/>
  <c r="E37" i="85"/>
  <c r="D37" i="85"/>
  <c r="B37" i="85"/>
  <c r="F13" i="92"/>
  <c r="F15" i="92" s="1"/>
  <c r="H7" i="92"/>
  <c r="C21" i="92" s="1"/>
  <c r="G7" i="92"/>
  <c r="C20" i="92" s="1"/>
  <c r="F7" i="92"/>
  <c r="E7" i="92"/>
  <c r="C19" i="92" s="1"/>
  <c r="D7" i="92"/>
  <c r="C7" i="92"/>
  <c r="C18" i="92" s="1"/>
  <c r="C23" i="92" s="1"/>
  <c r="D26" i="71"/>
  <c r="I43" i="42" l="1"/>
  <c r="J43" i="42" s="1"/>
  <c r="T32" i="85"/>
  <c r="T24" i="85"/>
  <c r="T16" i="85"/>
  <c r="T28" i="85"/>
  <c r="T27" i="85"/>
  <c r="T36" i="85"/>
  <c r="T12" i="85"/>
  <c r="T44" i="85"/>
  <c r="E38" i="72"/>
  <c r="E17" i="72" s="1"/>
  <c r="D38" i="72"/>
  <c r="D17" i="72" s="1"/>
  <c r="H46" i="42"/>
  <c r="H47" i="72" s="1"/>
  <c r="H48" i="42"/>
  <c r="H49" i="72" s="1"/>
  <c r="H47" i="42"/>
  <c r="H48" i="72" s="1"/>
  <c r="H49" i="42"/>
  <c r="H50" i="72" s="1"/>
  <c r="H3" i="72"/>
  <c r="E51" i="96"/>
  <c r="F11" i="71"/>
  <c r="F12" i="71" s="1"/>
  <c r="F34" i="42"/>
  <c r="C47" i="85"/>
  <c r="T20" i="85" s="1"/>
  <c r="G37" i="85"/>
  <c r="G40" i="85"/>
  <c r="T47" i="85"/>
  <c r="T39" i="85"/>
  <c r="T31" i="85"/>
  <c r="T23" i="85"/>
  <c r="T15" i="85"/>
  <c r="T40" i="85"/>
  <c r="T38" i="85"/>
  <c r="T14" i="85"/>
  <c r="T30" i="85"/>
  <c r="T22" i="85"/>
  <c r="T10" i="85"/>
  <c r="T42" i="85"/>
  <c r="T34" i="85"/>
  <c r="T26" i="85"/>
  <c r="T18" i="85"/>
  <c r="T35" i="85"/>
  <c r="T19" i="85"/>
  <c r="T25" i="85"/>
  <c r="E42" i="71"/>
  <c r="F42" i="71"/>
  <c r="F48" i="71" s="1"/>
  <c r="G42" i="71"/>
  <c r="H42" i="71"/>
  <c r="I42" i="71"/>
  <c r="J42" i="71"/>
  <c r="J48" i="71" s="1"/>
  <c r="K42" i="71"/>
  <c r="K48" i="71" s="1"/>
  <c r="L42" i="71"/>
  <c r="L48" i="71" s="1"/>
  <c r="M42" i="71"/>
  <c r="M48" i="71" s="1"/>
  <c r="N42" i="71"/>
  <c r="N48" i="71" s="1"/>
  <c r="O42" i="71"/>
  <c r="O48" i="71" s="1"/>
  <c r="P42" i="71"/>
  <c r="P48" i="71" s="1"/>
  <c r="Q42" i="71"/>
  <c r="R42" i="71"/>
  <c r="R48" i="71" s="1"/>
  <c r="S42" i="71"/>
  <c r="S48" i="71" s="1"/>
  <c r="T42" i="71"/>
  <c r="U42" i="71"/>
  <c r="U48" i="71" s="1"/>
  <c r="V42" i="71"/>
  <c r="V48" i="71" s="1"/>
  <c r="W42" i="71"/>
  <c r="X42" i="71"/>
  <c r="Y42" i="71"/>
  <c r="Z42" i="71"/>
  <c r="Z48" i="71" s="1"/>
  <c r="AA42" i="71"/>
  <c r="AA48" i="71" s="1"/>
  <c r="AB42" i="71"/>
  <c r="AB48" i="71" s="1"/>
  <c r="AC42" i="71"/>
  <c r="AC48" i="71" s="1"/>
  <c r="AD42" i="71"/>
  <c r="AD48" i="71" s="1"/>
  <c r="AE42" i="71"/>
  <c r="AE48" i="71" s="1"/>
  <c r="AF42" i="71"/>
  <c r="AF48" i="71" s="1"/>
  <c r="AG42" i="71"/>
  <c r="AH42" i="71"/>
  <c r="AH48" i="71" s="1"/>
  <c r="AI42" i="71"/>
  <c r="AI48" i="71" s="1"/>
  <c r="AJ42" i="71"/>
  <c r="AK42" i="71"/>
  <c r="AK48" i="71" s="1"/>
  <c r="AL42" i="71"/>
  <c r="AL48" i="71" s="1"/>
  <c r="AM42" i="71"/>
  <c r="AN42" i="71"/>
  <c r="AO42" i="71"/>
  <c r="AP42" i="71"/>
  <c r="AP48" i="71" s="1"/>
  <c r="AQ42" i="71"/>
  <c r="AQ48" i="71" s="1"/>
  <c r="AR42" i="71"/>
  <c r="AR48" i="71" s="1"/>
  <c r="AS42" i="71"/>
  <c r="AS48" i="71" s="1"/>
  <c r="AT42" i="71"/>
  <c r="AT48" i="71" s="1"/>
  <c r="AU42" i="71"/>
  <c r="AU48" i="71" s="1"/>
  <c r="B10" i="90"/>
  <c r="B5" i="90"/>
  <c r="B4" i="90"/>
  <c r="B3" i="90"/>
  <c r="L43" i="42" l="1"/>
  <c r="M43" i="42" s="1"/>
  <c r="N43" i="42"/>
  <c r="K3" i="72"/>
  <c r="K46" i="42"/>
  <c r="K47" i="72" s="1"/>
  <c r="K47" i="42"/>
  <c r="K48" i="72" s="1"/>
  <c r="K48" i="42"/>
  <c r="K49" i="72" s="1"/>
  <c r="K49" i="42"/>
  <c r="K50" i="72" s="1"/>
  <c r="H46" i="72"/>
  <c r="I46" i="42"/>
  <c r="I47" i="72" s="1"/>
  <c r="I48" i="42"/>
  <c r="I49" i="72" s="1"/>
  <c r="I47" i="42"/>
  <c r="I48" i="72" s="1"/>
  <c r="I49" i="42"/>
  <c r="I50" i="72" s="1"/>
  <c r="I3" i="72"/>
  <c r="E52" i="96"/>
  <c r="E53" i="96"/>
  <c r="I48" i="71"/>
  <c r="AN48" i="71"/>
  <c r="G48" i="71"/>
  <c r="Y48" i="71"/>
  <c r="AJ48" i="71"/>
  <c r="T48" i="71"/>
  <c r="X48" i="71"/>
  <c r="AG48" i="71"/>
  <c r="Q48" i="71"/>
  <c r="AM48" i="71"/>
  <c r="AO48" i="71"/>
  <c r="W48" i="71"/>
  <c r="H48" i="71"/>
  <c r="B12" i="90"/>
  <c r="F16" i="71" s="1"/>
  <c r="F10" i="42"/>
  <c r="B36" i="80"/>
  <c r="B31" i="80"/>
  <c r="B30" i="80"/>
  <c r="B29" i="80"/>
  <c r="B38" i="80" s="1"/>
  <c r="B23" i="80"/>
  <c r="B18" i="80"/>
  <c r="B17" i="80"/>
  <c r="B16" i="80"/>
  <c r="E10" i="80"/>
  <c r="B10" i="80"/>
  <c r="E5" i="80"/>
  <c r="E12" i="80" s="1"/>
  <c r="B5" i="80"/>
  <c r="B12" i="80" s="1"/>
  <c r="E4" i="80"/>
  <c r="B4" i="80"/>
  <c r="E3" i="80"/>
  <c r="B3" i="80"/>
  <c r="O43" i="42" l="1"/>
  <c r="P43" i="42" s="1"/>
  <c r="L49" i="42"/>
  <c r="L50" i="72" s="1"/>
  <c r="L3" i="72"/>
  <c r="L48" i="42"/>
  <c r="L49" i="72" s="1"/>
  <c r="L47" i="42"/>
  <c r="L48" i="72" s="1"/>
  <c r="L46" i="42"/>
  <c r="L47" i="72" s="1"/>
  <c r="K46" i="72"/>
  <c r="N3" i="72"/>
  <c r="N46" i="42"/>
  <c r="N47" i="72" s="1"/>
  <c r="N47" i="42"/>
  <c r="N48" i="72" s="1"/>
  <c r="N49" i="42"/>
  <c r="N50" i="72" s="1"/>
  <c r="N48" i="42"/>
  <c r="N49" i="72" s="1"/>
  <c r="I46" i="72"/>
  <c r="J46" i="42"/>
  <c r="J47" i="72" s="1"/>
  <c r="J48" i="42"/>
  <c r="J49" i="72" s="1"/>
  <c r="J47" i="42"/>
  <c r="J48" i="72" s="1"/>
  <c r="J49" i="42"/>
  <c r="J50" i="72" s="1"/>
  <c r="J3" i="72"/>
  <c r="C31" i="85"/>
  <c r="E21" i="85"/>
  <c r="G21" i="85" s="1"/>
  <c r="E4" i="85"/>
  <c r="E5" i="85"/>
  <c r="G5" i="85" s="1"/>
  <c r="E6" i="85"/>
  <c r="G6" i="85" s="1"/>
  <c r="E7" i="85"/>
  <c r="E8" i="85"/>
  <c r="E9" i="85"/>
  <c r="G9" i="85" s="1"/>
  <c r="E10" i="85"/>
  <c r="G10" i="85" s="1"/>
  <c r="E11" i="85"/>
  <c r="G11" i="85" s="1"/>
  <c r="E12" i="85"/>
  <c r="G12" i="85" s="1"/>
  <c r="E13" i="85"/>
  <c r="G13" i="85" s="1"/>
  <c r="E14" i="85"/>
  <c r="G14" i="85" s="1"/>
  <c r="E15" i="85"/>
  <c r="G15" i="85" s="1"/>
  <c r="E16" i="85"/>
  <c r="G16" i="85" s="1"/>
  <c r="E17" i="85"/>
  <c r="G17" i="85" s="1"/>
  <c r="E18" i="85"/>
  <c r="G18" i="85" s="1"/>
  <c r="E20" i="85"/>
  <c r="E19" i="85"/>
  <c r="D29" i="71"/>
  <c r="E9" i="87"/>
  <c r="E10" i="87" s="1"/>
  <c r="E9" i="86"/>
  <c r="Q5" i="85"/>
  <c r="U5" i="85" s="1"/>
  <c r="Q4" i="85"/>
  <c r="U4" i="85" s="1"/>
  <c r="M4" i="85"/>
  <c r="N7" i="85"/>
  <c r="N8" i="85"/>
  <c r="N9" i="85"/>
  <c r="N10" i="85"/>
  <c r="N11" i="85"/>
  <c r="N12" i="85"/>
  <c r="N13" i="85"/>
  <c r="N14" i="85"/>
  <c r="N15" i="85"/>
  <c r="N16" i="85"/>
  <c r="N17" i="85"/>
  <c r="N18" i="85"/>
  <c r="N19" i="85"/>
  <c r="N20" i="85"/>
  <c r="N21" i="85"/>
  <c r="N22" i="85"/>
  <c r="N23" i="85"/>
  <c r="N24" i="85"/>
  <c r="N25" i="85"/>
  <c r="N26" i="85"/>
  <c r="N27" i="85"/>
  <c r="N28" i="85"/>
  <c r="N29" i="85"/>
  <c r="N30" i="85"/>
  <c r="N31" i="85"/>
  <c r="N32" i="85"/>
  <c r="N33" i="85"/>
  <c r="N34" i="85"/>
  <c r="N35" i="85"/>
  <c r="N36" i="85"/>
  <c r="N37" i="85"/>
  <c r="N38" i="85"/>
  <c r="N39" i="85"/>
  <c r="N40" i="85"/>
  <c r="N41" i="85"/>
  <c r="N42" i="85"/>
  <c r="N43" i="85"/>
  <c r="N44" i="85"/>
  <c r="N45" i="85"/>
  <c r="N46" i="85"/>
  <c r="N47" i="85"/>
  <c r="N6" i="85"/>
  <c r="O7" i="85"/>
  <c r="P7" i="85"/>
  <c r="O8" i="85"/>
  <c r="P8" i="85"/>
  <c r="O9" i="85"/>
  <c r="P9" i="85"/>
  <c r="O10" i="85"/>
  <c r="P10" i="85"/>
  <c r="O11" i="85"/>
  <c r="P11" i="85"/>
  <c r="O12" i="85"/>
  <c r="P12" i="85"/>
  <c r="O13" i="85"/>
  <c r="P13" i="85"/>
  <c r="O14" i="85"/>
  <c r="P14" i="85"/>
  <c r="O15" i="85"/>
  <c r="P15" i="85"/>
  <c r="O16" i="85"/>
  <c r="P16" i="85"/>
  <c r="O17" i="85"/>
  <c r="P17" i="85"/>
  <c r="O18" i="85"/>
  <c r="P18" i="85"/>
  <c r="O19" i="85"/>
  <c r="P19" i="85"/>
  <c r="O20" i="85"/>
  <c r="P20" i="85"/>
  <c r="O21" i="85"/>
  <c r="P21" i="85"/>
  <c r="O22" i="85"/>
  <c r="P22" i="85"/>
  <c r="O23" i="85"/>
  <c r="P23" i="85"/>
  <c r="O24" i="85"/>
  <c r="P24" i="85"/>
  <c r="O25" i="85"/>
  <c r="P25" i="85"/>
  <c r="O26" i="85"/>
  <c r="P26" i="85"/>
  <c r="O27" i="85"/>
  <c r="P27" i="85"/>
  <c r="O28" i="85"/>
  <c r="P28" i="85"/>
  <c r="O29" i="85"/>
  <c r="P29" i="85"/>
  <c r="O30" i="85"/>
  <c r="P30" i="85"/>
  <c r="O31" i="85"/>
  <c r="P31" i="85"/>
  <c r="O32" i="85"/>
  <c r="P32" i="85"/>
  <c r="O33" i="85"/>
  <c r="P33" i="85"/>
  <c r="O34" i="85"/>
  <c r="P34" i="85"/>
  <c r="O35" i="85"/>
  <c r="P35" i="85"/>
  <c r="O36" i="85"/>
  <c r="P36" i="85"/>
  <c r="O37" i="85"/>
  <c r="P37" i="85"/>
  <c r="O38" i="85"/>
  <c r="P38" i="85"/>
  <c r="O39" i="85"/>
  <c r="P39" i="85"/>
  <c r="O40" i="85"/>
  <c r="P40" i="85"/>
  <c r="O41" i="85"/>
  <c r="P41" i="85"/>
  <c r="O42" i="85"/>
  <c r="P42" i="85"/>
  <c r="O43" i="85"/>
  <c r="P43" i="85"/>
  <c r="O44" i="85"/>
  <c r="P44" i="85"/>
  <c r="O45" i="85"/>
  <c r="P45" i="85"/>
  <c r="O46" i="85"/>
  <c r="P46" i="85"/>
  <c r="O47" i="85"/>
  <c r="P47" i="85"/>
  <c r="P6" i="85"/>
  <c r="O6" i="85"/>
  <c r="M5" i="85"/>
  <c r="L6" i="85"/>
  <c r="L7" i="85"/>
  <c r="L8" i="85"/>
  <c r="L9" i="85"/>
  <c r="L10" i="85"/>
  <c r="L11" i="85"/>
  <c r="L12" i="85"/>
  <c r="L13" i="85"/>
  <c r="L14" i="85"/>
  <c r="L15" i="85"/>
  <c r="L16" i="85"/>
  <c r="L17" i="85"/>
  <c r="L18" i="85"/>
  <c r="L19" i="85"/>
  <c r="L20" i="85"/>
  <c r="L21" i="85"/>
  <c r="L22" i="85"/>
  <c r="L23" i="85"/>
  <c r="L24" i="85"/>
  <c r="L25" i="85"/>
  <c r="L26" i="85"/>
  <c r="L27" i="85"/>
  <c r="L28" i="85"/>
  <c r="L29" i="85"/>
  <c r="L30" i="85"/>
  <c r="L31" i="85"/>
  <c r="L32" i="85"/>
  <c r="L33" i="85"/>
  <c r="L34" i="85"/>
  <c r="L35" i="85"/>
  <c r="L36" i="85"/>
  <c r="L37" i="85"/>
  <c r="L38" i="85"/>
  <c r="L39" i="85"/>
  <c r="L40" i="85"/>
  <c r="L41" i="85"/>
  <c r="L42" i="85"/>
  <c r="L43" i="85"/>
  <c r="L44" i="85"/>
  <c r="L45" i="85"/>
  <c r="L46" i="85"/>
  <c r="L47" i="85"/>
  <c r="K6" i="85"/>
  <c r="K7" i="85"/>
  <c r="K8" i="85"/>
  <c r="K9" i="85"/>
  <c r="K10" i="85"/>
  <c r="K11" i="85"/>
  <c r="K12" i="85"/>
  <c r="K13" i="85"/>
  <c r="K14" i="85"/>
  <c r="K15" i="85"/>
  <c r="K16" i="85"/>
  <c r="K17" i="85"/>
  <c r="K18" i="85"/>
  <c r="K19" i="85"/>
  <c r="K20" i="85"/>
  <c r="K21" i="85"/>
  <c r="K22" i="85"/>
  <c r="K23" i="85"/>
  <c r="K24" i="85"/>
  <c r="K25" i="85"/>
  <c r="K26" i="85"/>
  <c r="K27" i="85"/>
  <c r="K28" i="85"/>
  <c r="K29" i="85"/>
  <c r="K30" i="85"/>
  <c r="K31" i="85"/>
  <c r="K32" i="85"/>
  <c r="K33" i="85"/>
  <c r="K34" i="85"/>
  <c r="K35" i="85"/>
  <c r="K36" i="85"/>
  <c r="K37" i="85"/>
  <c r="K38" i="85"/>
  <c r="K39" i="85"/>
  <c r="K40" i="85"/>
  <c r="K41" i="85"/>
  <c r="K42" i="85"/>
  <c r="K43" i="85"/>
  <c r="K44" i="85"/>
  <c r="K45" i="85"/>
  <c r="K46" i="85"/>
  <c r="K47"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R43" i="42" l="1"/>
  <c r="S43" i="42" s="1"/>
  <c r="T43" i="42"/>
  <c r="N46" i="72"/>
  <c r="Q46" i="42"/>
  <c r="Q47" i="72" s="1"/>
  <c r="Q49" i="42"/>
  <c r="Q50" i="72" s="1"/>
  <c r="Q48" i="42"/>
  <c r="Q49" i="72" s="1"/>
  <c r="Q47" i="42"/>
  <c r="Q48" i="72" s="1"/>
  <c r="Q3" i="72"/>
  <c r="O49" i="42"/>
  <c r="O50" i="72" s="1"/>
  <c r="O46" i="42"/>
  <c r="O47" i="72" s="1"/>
  <c r="O47" i="42"/>
  <c r="O48" i="72" s="1"/>
  <c r="O48" i="42"/>
  <c r="O49" i="72" s="1"/>
  <c r="O3" i="72"/>
  <c r="L46" i="72"/>
  <c r="M46" i="42"/>
  <c r="M47" i="72" s="1"/>
  <c r="M3" i="72"/>
  <c r="M47" i="42"/>
  <c r="M48" i="72" s="1"/>
  <c r="M49" i="42"/>
  <c r="M50" i="72" s="1"/>
  <c r="M48" i="42"/>
  <c r="M49" i="72" s="1"/>
  <c r="J46" i="72"/>
  <c r="C27" i="85"/>
  <c r="G8" i="85"/>
  <c r="G7" i="85"/>
  <c r="C32" i="85"/>
  <c r="Q20" i="85" s="1"/>
  <c r="U20" i="85" s="1"/>
  <c r="G19" i="85"/>
  <c r="G4" i="85"/>
  <c r="C33" i="85"/>
  <c r="Q35" i="85" s="1"/>
  <c r="U35" i="85" s="1"/>
  <c r="G20" i="85"/>
  <c r="Q6" i="85"/>
  <c r="U6" i="85" s="1"/>
  <c r="B9" i="87" s="1"/>
  <c r="Q19" i="85"/>
  <c r="U19" i="85" s="1"/>
  <c r="Q34" i="85"/>
  <c r="U34" i="85" s="1"/>
  <c r="Q18" i="85"/>
  <c r="U18" i="85" s="1"/>
  <c r="C28" i="85"/>
  <c r="Q30" i="85"/>
  <c r="U30" i="85" s="1"/>
  <c r="B34" i="87" s="1"/>
  <c r="Q36" i="85"/>
  <c r="U36" i="85" s="1"/>
  <c r="Q33" i="85"/>
  <c r="U33" i="85" s="1"/>
  <c r="Q17" i="85"/>
  <c r="U17" i="85" s="1"/>
  <c r="Q32" i="85"/>
  <c r="U32" i="85" s="1"/>
  <c r="B36" i="87" s="1"/>
  <c r="Q16" i="85"/>
  <c r="U16" i="85" s="1"/>
  <c r="Q47" i="85"/>
  <c r="U47" i="85" s="1"/>
  <c r="Q31" i="85"/>
  <c r="U31" i="85" s="1"/>
  <c r="Q46" i="85"/>
  <c r="U46" i="85" s="1"/>
  <c r="Q14" i="85"/>
  <c r="U14" i="85" s="1"/>
  <c r="Q29" i="85"/>
  <c r="U29" i="85" s="1"/>
  <c r="Q13" i="85"/>
  <c r="U13" i="85" s="1"/>
  <c r="Q44" i="85"/>
  <c r="U44" i="85" s="1"/>
  <c r="Q28" i="85"/>
  <c r="U28" i="85" s="1"/>
  <c r="B32" i="87" s="1"/>
  <c r="Q12" i="85"/>
  <c r="U12" i="85" s="1"/>
  <c r="Q43" i="85"/>
  <c r="U43" i="85" s="1"/>
  <c r="Q27" i="85"/>
  <c r="U27" i="85" s="1"/>
  <c r="Q11" i="85"/>
  <c r="U11" i="85" s="1"/>
  <c r="Q42" i="85"/>
  <c r="U42" i="85" s="1"/>
  <c r="Q26" i="85"/>
  <c r="U26" i="85" s="1"/>
  <c r="B30" i="87" s="1"/>
  <c r="Q41" i="85"/>
  <c r="U41" i="85" s="1"/>
  <c r="B45" i="87" s="1"/>
  <c r="Q9" i="85"/>
  <c r="U9" i="85" s="1"/>
  <c r="B13" i="87" s="1"/>
  <c r="Q8" i="85"/>
  <c r="U8" i="85" s="1"/>
  <c r="Q39" i="85"/>
  <c r="U39" i="85" s="1"/>
  <c r="Q23" i="85"/>
  <c r="U23" i="85" s="1"/>
  <c r="Q7" i="85"/>
  <c r="U7" i="85" s="1"/>
  <c r="Q24" i="85"/>
  <c r="U24" i="85" s="1"/>
  <c r="Q38" i="85"/>
  <c r="U38" i="85" s="1"/>
  <c r="B42" i="87" s="1"/>
  <c r="Q22" i="85"/>
  <c r="U22" i="85" s="1"/>
  <c r="B26" i="87" s="1"/>
  <c r="Q37" i="85"/>
  <c r="U37" i="85" s="1"/>
  <c r="Q21" i="85"/>
  <c r="U21" i="85" s="1"/>
  <c r="M21" i="85"/>
  <c r="M29" i="85"/>
  <c r="M13" i="85"/>
  <c r="Q10" i="85"/>
  <c r="U10" i="85" s="1"/>
  <c r="Q40" i="85"/>
  <c r="U40" i="85" s="1"/>
  <c r="Q15" i="85"/>
  <c r="U15" i="85" s="1"/>
  <c r="Q45" i="85"/>
  <c r="U45" i="85" s="1"/>
  <c r="B49" i="87" s="1"/>
  <c r="E11" i="87"/>
  <c r="E10" i="86"/>
  <c r="M46" i="85"/>
  <c r="M30" i="85"/>
  <c r="M44" i="85"/>
  <c r="M28" i="85"/>
  <c r="M12" i="85"/>
  <c r="M43" i="85"/>
  <c r="M27" i="85"/>
  <c r="M11" i="85"/>
  <c r="M42" i="85"/>
  <c r="M26" i="85"/>
  <c r="M6" i="85"/>
  <c r="B9" i="86" s="1"/>
  <c r="M38" i="85"/>
  <c r="M22" i="85"/>
  <c r="M36" i="85"/>
  <c r="M14" i="85"/>
  <c r="M10" i="85"/>
  <c r="M41" i="85"/>
  <c r="M25" i="85"/>
  <c r="M9" i="85"/>
  <c r="M40" i="85"/>
  <c r="M24" i="85"/>
  <c r="M8" i="85"/>
  <c r="M39" i="85"/>
  <c r="M23" i="85"/>
  <c r="M7" i="85"/>
  <c r="M34" i="85"/>
  <c r="M18" i="85"/>
  <c r="M33" i="85"/>
  <c r="M17" i="85"/>
  <c r="M45" i="85"/>
  <c r="M37" i="85"/>
  <c r="M20" i="85"/>
  <c r="M35" i="85"/>
  <c r="M32" i="85"/>
  <c r="M16" i="85"/>
  <c r="M19" i="85"/>
  <c r="M47" i="85"/>
  <c r="M31" i="85"/>
  <c r="M15" i="85"/>
  <c r="E20" i="71"/>
  <c r="E21" i="71"/>
  <c r="E19" i="71"/>
  <c r="O21" i="42"/>
  <c r="E22" i="42"/>
  <c r="E18" i="42"/>
  <c r="E20" i="42"/>
  <c r="E17" i="42"/>
  <c r="E16" i="42"/>
  <c r="E15" i="42"/>
  <c r="E14" i="42"/>
  <c r="E13" i="42"/>
  <c r="B41" i="87" l="1"/>
  <c r="B20" i="87"/>
  <c r="B38" i="87"/>
  <c r="B16" i="87"/>
  <c r="B19" i="87"/>
  <c r="B17" i="87"/>
  <c r="B21" i="87"/>
  <c r="B14" i="87"/>
  <c r="B37" i="87"/>
  <c r="B40" i="87"/>
  <c r="B31" i="87"/>
  <c r="B25" i="86"/>
  <c r="B47" i="87"/>
  <c r="B25" i="87"/>
  <c r="B12" i="87"/>
  <c r="B22" i="87"/>
  <c r="B24" i="87"/>
  <c r="U43" i="42"/>
  <c r="V43" i="42" s="1"/>
  <c r="O46" i="72"/>
  <c r="P3" i="72"/>
  <c r="P47" i="42"/>
  <c r="P48" i="72" s="1"/>
  <c r="P49" i="42"/>
  <c r="P50" i="72" s="1"/>
  <c r="P48" i="42"/>
  <c r="P49" i="72" s="1"/>
  <c r="P46" i="42"/>
  <c r="P47" i="72" s="1"/>
  <c r="T3" i="72"/>
  <c r="T49" i="42"/>
  <c r="T50" i="72" s="1"/>
  <c r="T46" i="42"/>
  <c r="T47" i="72" s="1"/>
  <c r="T48" i="42"/>
  <c r="T49" i="72" s="1"/>
  <c r="T47" i="42"/>
  <c r="T48" i="72" s="1"/>
  <c r="R47" i="42"/>
  <c r="R48" i="72" s="1"/>
  <c r="R46" i="42"/>
  <c r="R47" i="72" s="1"/>
  <c r="R49" i="42"/>
  <c r="R50" i="72" s="1"/>
  <c r="R3" i="72"/>
  <c r="R48" i="42"/>
  <c r="R49" i="72" s="1"/>
  <c r="M46" i="72"/>
  <c r="Q46" i="72"/>
  <c r="B44" i="87"/>
  <c r="B46" i="87"/>
  <c r="B17" i="86"/>
  <c r="B15" i="87"/>
  <c r="B33" i="86"/>
  <c r="B48" i="87"/>
  <c r="B33" i="87"/>
  <c r="B23" i="87"/>
  <c r="B11" i="87"/>
  <c r="B18" i="87"/>
  <c r="B10" i="87"/>
  <c r="B27" i="87"/>
  <c r="B50" i="87"/>
  <c r="B43" i="87"/>
  <c r="B35" i="87"/>
  <c r="B39" i="87"/>
  <c r="Q25" i="85"/>
  <c r="U25" i="85" s="1"/>
  <c r="B29" i="87" s="1"/>
  <c r="B24" i="86"/>
  <c r="B29" i="86"/>
  <c r="B34" i="86"/>
  <c r="B41" i="86"/>
  <c r="B45" i="86"/>
  <c r="B50" i="86"/>
  <c r="B49" i="86"/>
  <c r="B14" i="86"/>
  <c r="B13" i="86"/>
  <c r="B21" i="86"/>
  <c r="B18" i="86"/>
  <c r="B37" i="86"/>
  <c r="B40" i="86"/>
  <c r="B26" i="86"/>
  <c r="B22" i="86"/>
  <c r="B42" i="86"/>
  <c r="B38" i="86"/>
  <c r="B10" i="86"/>
  <c r="B19" i="86"/>
  <c r="B30" i="86"/>
  <c r="B35" i="86"/>
  <c r="B11" i="86"/>
  <c r="B46" i="86"/>
  <c r="B27" i="86"/>
  <c r="B15" i="86"/>
  <c r="B39" i="86"/>
  <c r="B23" i="86"/>
  <c r="B43" i="86"/>
  <c r="B31" i="86"/>
  <c r="E12" i="87"/>
  <c r="B48" i="86"/>
  <c r="B20" i="86"/>
  <c r="B12" i="86"/>
  <c r="B47" i="86"/>
  <c r="B36" i="86"/>
  <c r="B28" i="86"/>
  <c r="B16" i="86"/>
  <c r="B44" i="86"/>
  <c r="B32" i="86"/>
  <c r="E11" i="86"/>
  <c r="F18" i="42"/>
  <c r="G18" i="42" s="1"/>
  <c r="H18" i="42" s="1"/>
  <c r="I18" i="42" s="1"/>
  <c r="J18" i="42" s="1"/>
  <c r="K18" i="42" s="1"/>
  <c r="L18" i="42" s="1"/>
  <c r="M18" i="42" s="1"/>
  <c r="N18" i="42" s="1"/>
  <c r="O18" i="42" s="1"/>
  <c r="P18" i="42" s="1"/>
  <c r="Q18" i="42" s="1"/>
  <c r="R18" i="42" s="1"/>
  <c r="S18" i="42" s="1"/>
  <c r="T18" i="42" s="1"/>
  <c r="U18" i="42" s="1"/>
  <c r="V18" i="42" s="1"/>
  <c r="W18" i="42" s="1"/>
  <c r="X18" i="42" s="1"/>
  <c r="Y18" i="42" s="1"/>
  <c r="Z18" i="42" s="1"/>
  <c r="AA18" i="42" s="1"/>
  <c r="AB18" i="42" s="1"/>
  <c r="AC18" i="42" s="1"/>
  <c r="AD18" i="42" s="1"/>
  <c r="AE18" i="42" s="1"/>
  <c r="AF18" i="42" s="1"/>
  <c r="AG18" i="42" s="1"/>
  <c r="AH18" i="42" s="1"/>
  <c r="AI18" i="42" s="1"/>
  <c r="AJ18" i="42" s="1"/>
  <c r="AK18" i="42" s="1"/>
  <c r="AL18" i="42" s="1"/>
  <c r="AM18" i="42" s="1"/>
  <c r="AN18" i="42" s="1"/>
  <c r="AO18" i="42" s="1"/>
  <c r="AP18" i="42" s="1"/>
  <c r="AQ18" i="42" s="1"/>
  <c r="AR18" i="42" s="1"/>
  <c r="AS18" i="42" s="1"/>
  <c r="AT18" i="42" s="1"/>
  <c r="AU18" i="42" s="1"/>
  <c r="AU6" i="72"/>
  <c r="B55" i="54"/>
  <c r="B56" i="54"/>
  <c r="B57" i="54"/>
  <c r="B58" i="54"/>
  <c r="B59" i="54"/>
  <c r="B60" i="54"/>
  <c r="B61" i="54"/>
  <c r="B62" i="54"/>
  <c r="B63" i="54"/>
  <c r="B64" i="54"/>
  <c r="B65" i="54"/>
  <c r="B66" i="54"/>
  <c r="B67" i="54"/>
  <c r="B68" i="54"/>
  <c r="B69" i="54"/>
  <c r="B70" i="54"/>
  <c r="B71" i="54"/>
  <c r="B72" i="54"/>
  <c r="B73" i="54"/>
  <c r="B74" i="54"/>
  <c r="B75" i="54"/>
  <c r="B76" i="54"/>
  <c r="B77" i="54"/>
  <c r="B78" i="54"/>
  <c r="B79" i="54"/>
  <c r="B80" i="54"/>
  <c r="B81" i="54"/>
  <c r="B82" i="54"/>
  <c r="B83" i="54"/>
  <c r="B54" i="54"/>
  <c r="D18" i="78"/>
  <c r="D19" i="78"/>
  <c r="D20" i="78"/>
  <c r="D21" i="78"/>
  <c r="D22" i="78"/>
  <c r="D23" i="78"/>
  <c r="D24" i="78"/>
  <c r="D25" i="78"/>
  <c r="D26" i="78"/>
  <c r="D27" i="78"/>
  <c r="D28" i="78"/>
  <c r="D29" i="78"/>
  <c r="D32" i="78"/>
  <c r="D34" i="78"/>
  <c r="D35" i="78"/>
  <c r="D36" i="78"/>
  <c r="D37" i="78"/>
  <c r="D38" i="78"/>
  <c r="D39" i="78"/>
  <c r="D40" i="78"/>
  <c r="D41" i="78"/>
  <c r="D42" i="78"/>
  <c r="D43" i="78"/>
  <c r="D44" i="78"/>
  <c r="D45" i="78"/>
  <c r="D47" i="78"/>
  <c r="D48" i="78"/>
  <c r="D50" i="78"/>
  <c r="D51" i="78"/>
  <c r="D52" i="78"/>
  <c r="D53" i="78"/>
  <c r="D54" i="78"/>
  <c r="D55" i="78"/>
  <c r="D56" i="78"/>
  <c r="D57" i="78"/>
  <c r="D58" i="78"/>
  <c r="D59" i="78"/>
  <c r="F11" i="79"/>
  <c r="F12" i="79" s="1"/>
  <c r="F13" i="79" s="1"/>
  <c r="F14" i="79" s="1"/>
  <c r="E10" i="79"/>
  <c r="E11" i="79" s="1"/>
  <c r="E12" i="79" s="1"/>
  <c r="E13" i="79" s="1"/>
  <c r="E14" i="79" s="1"/>
  <c r="E41" i="71" s="1"/>
  <c r="D10" i="79"/>
  <c r="D11" i="79" s="1"/>
  <c r="D12" i="79" s="1"/>
  <c r="D13" i="79" s="1"/>
  <c r="D14" i="79" s="1"/>
  <c r="E40" i="71" s="1"/>
  <c r="C10" i="79"/>
  <c r="D49" i="78"/>
  <c r="D46" i="78"/>
  <c r="D33" i="78"/>
  <c r="D31" i="78"/>
  <c r="D30" i="78"/>
  <c r="F15" i="78"/>
  <c r="Z43" i="42" l="1"/>
  <c r="X43" i="42"/>
  <c r="Y43" i="42" s="1"/>
  <c r="R46" i="72"/>
  <c r="T46" i="72"/>
  <c r="W3" i="72"/>
  <c r="W47" i="42"/>
  <c r="W48" i="72" s="1"/>
  <c r="W48" i="42"/>
  <c r="W49" i="72" s="1"/>
  <c r="W46" i="42"/>
  <c r="W47" i="72" s="1"/>
  <c r="W49" i="42"/>
  <c r="W50" i="72" s="1"/>
  <c r="U46" i="42"/>
  <c r="U47" i="72" s="1"/>
  <c r="U48" i="42"/>
  <c r="U49" i="72" s="1"/>
  <c r="U3" i="72"/>
  <c r="U47" i="42"/>
  <c r="U48" i="72" s="1"/>
  <c r="U49" i="42"/>
  <c r="U50" i="72" s="1"/>
  <c r="P46" i="72"/>
  <c r="S49" i="42"/>
  <c r="S50" i="72" s="1"/>
  <c r="S47" i="42"/>
  <c r="S48" i="72" s="1"/>
  <c r="S46" i="42"/>
  <c r="S47" i="72" s="1"/>
  <c r="S3" i="72"/>
  <c r="S48" i="42"/>
  <c r="S49" i="72" s="1"/>
  <c r="B28" i="87"/>
  <c r="C11" i="79"/>
  <c r="G11" i="79" s="1"/>
  <c r="G10" i="79"/>
  <c r="E5" i="42"/>
  <c r="E15" i="79"/>
  <c r="F41" i="71" s="1"/>
  <c r="F47" i="71" s="1"/>
  <c r="F15" i="79"/>
  <c r="E46" i="71"/>
  <c r="E47" i="71"/>
  <c r="D15" i="79"/>
  <c r="F40" i="71" s="1"/>
  <c r="E13" i="87"/>
  <c r="E14" i="87" s="1"/>
  <c r="E15" i="87" s="1"/>
  <c r="E16" i="87" s="1"/>
  <c r="E17" i="87" s="1"/>
  <c r="E18" i="87" s="1"/>
  <c r="E19" i="87" s="1"/>
  <c r="E20" i="87" s="1"/>
  <c r="E21" i="87" s="1"/>
  <c r="E22" i="87" s="1"/>
  <c r="E23" i="87" s="1"/>
  <c r="E24" i="87" s="1"/>
  <c r="E25" i="87" s="1"/>
  <c r="E26" i="87" s="1"/>
  <c r="E27" i="87" s="1"/>
  <c r="E28" i="87" s="1"/>
  <c r="E30" i="87" s="1"/>
  <c r="E31" i="87" s="1"/>
  <c r="E32" i="87" s="1"/>
  <c r="E33" i="87" s="1"/>
  <c r="E34" i="87" s="1"/>
  <c r="E35" i="87" s="1"/>
  <c r="E36" i="87" s="1"/>
  <c r="E37" i="87" s="1"/>
  <c r="E38" i="87" s="1"/>
  <c r="E40" i="87" s="1"/>
  <c r="E41" i="87" s="1"/>
  <c r="E42" i="87" s="1"/>
  <c r="E43" i="87" s="1"/>
  <c r="E44" i="87" s="1"/>
  <c r="E45" i="87" s="1"/>
  <c r="E46" i="87" s="1"/>
  <c r="E47" i="87" s="1"/>
  <c r="E12" i="86"/>
  <c r="AU17" i="72"/>
  <c r="G18" i="78"/>
  <c r="G19" i="78" s="1"/>
  <c r="G20" i="78" s="1"/>
  <c r="G21" i="78" s="1"/>
  <c r="G22" i="78" s="1"/>
  <c r="G23" i="78" s="1"/>
  <c r="G24" i="78" s="1"/>
  <c r="G25" i="78" s="1"/>
  <c r="G26" i="78" s="1"/>
  <c r="G27" i="78" s="1"/>
  <c r="G28" i="78" s="1"/>
  <c r="G29" i="78" s="1"/>
  <c r="G30" i="78" s="1"/>
  <c r="G31" i="78" s="1"/>
  <c r="G32" i="78" s="1"/>
  <c r="G33" i="78" s="1"/>
  <c r="G34" i="78" s="1"/>
  <c r="G35" i="78" s="1"/>
  <c r="G36" i="78" s="1"/>
  <c r="G37" i="78" s="1"/>
  <c r="G38" i="78" s="1"/>
  <c r="G39" i="78" s="1"/>
  <c r="G40" i="78" s="1"/>
  <c r="G41" i="78" s="1"/>
  <c r="G42" i="78" s="1"/>
  <c r="G43" i="78" s="1"/>
  <c r="G44" i="78" s="1"/>
  <c r="G45" i="78" s="1"/>
  <c r="G46" i="78" s="1"/>
  <c r="G47" i="78" s="1"/>
  <c r="G48" i="78" s="1"/>
  <c r="G49" i="78" s="1"/>
  <c r="G50" i="78" s="1"/>
  <c r="G51" i="78" s="1"/>
  <c r="G52" i="78" s="1"/>
  <c r="G53" i="78" s="1"/>
  <c r="G54" i="78" s="1"/>
  <c r="G55" i="78" s="1"/>
  <c r="G56" i="78" s="1"/>
  <c r="G57" i="78" s="1"/>
  <c r="G58" i="78" s="1"/>
  <c r="G59" i="78" s="1"/>
  <c r="C12" i="79"/>
  <c r="G12" i="79" s="1"/>
  <c r="E16" i="79"/>
  <c r="F18" i="78"/>
  <c r="F19" i="78" s="1"/>
  <c r="F20" i="78" s="1"/>
  <c r="F21" i="78" s="1"/>
  <c r="F22" i="78" s="1"/>
  <c r="F23" i="78" s="1"/>
  <c r="F24" i="78" s="1"/>
  <c r="F25" i="78" s="1"/>
  <c r="E18" i="78"/>
  <c r="AA43" i="42" l="1"/>
  <c r="AB43" i="42" s="1"/>
  <c r="V46" i="42"/>
  <c r="V47" i="72" s="1"/>
  <c r="V48" i="42"/>
  <c r="V49" i="72" s="1"/>
  <c r="V47" i="42"/>
  <c r="V48" i="72" s="1"/>
  <c r="V49" i="42"/>
  <c r="V50" i="72" s="1"/>
  <c r="V3" i="72"/>
  <c r="Z49" i="42"/>
  <c r="Z50" i="72" s="1"/>
  <c r="Z3" i="72"/>
  <c r="Z47" i="42"/>
  <c r="Z48" i="72" s="1"/>
  <c r="Z46" i="42"/>
  <c r="Z47" i="72" s="1"/>
  <c r="Z48" i="42"/>
  <c r="Z49" i="72" s="1"/>
  <c r="U46" i="72"/>
  <c r="X47" i="42"/>
  <c r="X48" i="72" s="1"/>
  <c r="X3" i="72"/>
  <c r="X49" i="42"/>
  <c r="X50" i="72" s="1"/>
  <c r="X46" i="42"/>
  <c r="X47" i="72" s="1"/>
  <c r="X48" i="42"/>
  <c r="X49" i="72" s="1"/>
  <c r="W46" i="72"/>
  <c r="S46" i="72"/>
  <c r="E40" i="42"/>
  <c r="F46" i="71"/>
  <c r="E17" i="79"/>
  <c r="G41" i="71"/>
  <c r="D16" i="79"/>
  <c r="E10" i="42"/>
  <c r="F28" i="78"/>
  <c r="F29" i="78" s="1"/>
  <c r="F30" i="78" s="1"/>
  <c r="F31" i="78" s="1"/>
  <c r="F32" i="78" s="1"/>
  <c r="F33" i="78" s="1"/>
  <c r="E13" i="86"/>
  <c r="C13" i="79"/>
  <c r="H18" i="78"/>
  <c r="E19" i="78"/>
  <c r="AD43" i="42" l="1"/>
  <c r="AE43" i="42" s="1"/>
  <c r="AF43" i="42"/>
  <c r="AC47" i="42"/>
  <c r="AC48" i="72" s="1"/>
  <c r="AC49" i="42"/>
  <c r="AC50" i="72" s="1"/>
  <c r="AC48" i="42"/>
  <c r="AC49" i="72" s="1"/>
  <c r="AC46" i="42"/>
  <c r="AC47" i="72" s="1"/>
  <c r="AC3" i="72"/>
  <c r="AA49" i="42"/>
  <c r="AA50" i="72" s="1"/>
  <c r="AA3" i="72"/>
  <c r="AA46" i="42"/>
  <c r="AA47" i="72" s="1"/>
  <c r="AA47" i="42"/>
  <c r="AA48" i="72" s="1"/>
  <c r="AA48" i="42"/>
  <c r="AA49" i="72" s="1"/>
  <c r="Z46" i="72"/>
  <c r="Y49" i="42"/>
  <c r="Y50" i="72" s="1"/>
  <c r="Y46" i="42"/>
  <c r="Y47" i="72" s="1"/>
  <c r="Y48" i="42"/>
  <c r="Y49" i="72" s="1"/>
  <c r="Y47" i="42"/>
  <c r="Y48" i="72" s="1"/>
  <c r="Y3" i="72"/>
  <c r="X46" i="72"/>
  <c r="V46" i="72"/>
  <c r="C8" i="46"/>
  <c r="C10" i="54"/>
  <c r="C8" i="87"/>
  <c r="C8" i="86"/>
  <c r="C14" i="79"/>
  <c r="G13" i="79"/>
  <c r="F40" i="42"/>
  <c r="D17" i="79"/>
  <c r="G40" i="71"/>
  <c r="E39" i="71"/>
  <c r="C15" i="79"/>
  <c r="E18" i="79"/>
  <c r="H41" i="71"/>
  <c r="G47" i="71"/>
  <c r="E14" i="86"/>
  <c r="F37" i="78"/>
  <c r="F38" i="78" s="1"/>
  <c r="F39" i="78" s="1"/>
  <c r="F40" i="78" s="1"/>
  <c r="F41" i="78" s="1"/>
  <c r="F42" i="78" s="1"/>
  <c r="F43" i="78" s="1"/>
  <c r="F44" i="78" s="1"/>
  <c r="F16" i="79"/>
  <c r="E20" i="78"/>
  <c r="H19" i="78"/>
  <c r="AG43" i="42" l="1"/>
  <c r="AH43" i="42" s="1"/>
  <c r="AC46" i="72"/>
  <c r="AB47" i="42"/>
  <c r="AB48" i="72" s="1"/>
  <c r="AB48" i="42"/>
  <c r="AB49" i="72" s="1"/>
  <c r="AB49" i="42"/>
  <c r="AB50" i="72" s="1"/>
  <c r="AB3" i="72"/>
  <c r="AB46" i="42"/>
  <c r="AB47" i="72" s="1"/>
  <c r="Y46" i="72"/>
  <c r="AA46" i="72"/>
  <c r="AF3" i="72"/>
  <c r="AF47" i="42"/>
  <c r="AF48" i="72" s="1"/>
  <c r="AF49" i="42"/>
  <c r="AF50" i="72" s="1"/>
  <c r="AF46" i="42"/>
  <c r="AF47" i="72" s="1"/>
  <c r="AF48" i="42"/>
  <c r="AF49" i="72" s="1"/>
  <c r="AD48" i="42"/>
  <c r="AD49" i="72" s="1"/>
  <c r="AD47" i="42"/>
  <c r="AD48" i="72" s="1"/>
  <c r="AD46" i="42"/>
  <c r="AD47" i="72" s="1"/>
  <c r="AD3" i="72"/>
  <c r="AD49" i="42"/>
  <c r="AD50" i="72" s="1"/>
  <c r="C9" i="86"/>
  <c r="C9" i="87"/>
  <c r="E19" i="79"/>
  <c r="I41" i="71"/>
  <c r="E45" i="71"/>
  <c r="E24" i="71" s="1"/>
  <c r="G46" i="71"/>
  <c r="H47" i="71"/>
  <c r="F39" i="71"/>
  <c r="D18" i="79"/>
  <c r="H40" i="71"/>
  <c r="E15" i="86"/>
  <c r="F45" i="78"/>
  <c r="F46" i="78" s="1"/>
  <c r="F47" i="78" s="1"/>
  <c r="F17" i="79"/>
  <c r="E21" i="78"/>
  <c r="H20" i="78"/>
  <c r="AJ43" i="42" l="1"/>
  <c r="AK43" i="42" s="1"/>
  <c r="AL43" i="42"/>
  <c r="AF46" i="72"/>
  <c r="AI49" i="42"/>
  <c r="AI50" i="72" s="1"/>
  <c r="AI46" i="42"/>
  <c r="AI47" i="72" s="1"/>
  <c r="AI3" i="72"/>
  <c r="AI47" i="42"/>
  <c r="AI48" i="72" s="1"/>
  <c r="AI48" i="42"/>
  <c r="AI49" i="72" s="1"/>
  <c r="AG3" i="72"/>
  <c r="AG46" i="42"/>
  <c r="AG47" i="72" s="1"/>
  <c r="AG48" i="42"/>
  <c r="AG49" i="72" s="1"/>
  <c r="AG49" i="42"/>
  <c r="AG50" i="72" s="1"/>
  <c r="AG47" i="42"/>
  <c r="AG48" i="72" s="1"/>
  <c r="AB46" i="72"/>
  <c r="AE3" i="72"/>
  <c r="AE47" i="42"/>
  <c r="AE48" i="72" s="1"/>
  <c r="AE48" i="42"/>
  <c r="AE49" i="72" s="1"/>
  <c r="AE49" i="42"/>
  <c r="AE50" i="72" s="1"/>
  <c r="AE46" i="42"/>
  <c r="AE47" i="72" s="1"/>
  <c r="AD46" i="72"/>
  <c r="E50" i="71"/>
  <c r="H5" i="42"/>
  <c r="G40" i="42"/>
  <c r="H46" i="71"/>
  <c r="F45" i="71"/>
  <c r="F24" i="71" s="1"/>
  <c r="D19" i="79"/>
  <c r="I40" i="71"/>
  <c r="E25" i="71"/>
  <c r="I47" i="71"/>
  <c r="E20" i="79"/>
  <c r="J41" i="71"/>
  <c r="E16" i="86"/>
  <c r="F48" i="78"/>
  <c r="F49" i="78" s="1"/>
  <c r="F50" i="78" s="1"/>
  <c r="F51" i="78" s="1"/>
  <c r="F52" i="78" s="1"/>
  <c r="F53" i="78" s="1"/>
  <c r="F54" i="78" s="1"/>
  <c r="F55" i="78" s="1"/>
  <c r="F56" i="78" s="1"/>
  <c r="F57" i="78" s="1"/>
  <c r="F58" i="78" s="1"/>
  <c r="F18" i="79"/>
  <c r="C16" i="79"/>
  <c r="G16" i="79" s="1"/>
  <c r="H21" i="78"/>
  <c r="E22" i="78"/>
  <c r="AM43" i="42" l="1"/>
  <c r="AN43" i="42" s="1"/>
  <c r="AH3" i="72"/>
  <c r="AH47" i="42"/>
  <c r="AH48" i="72" s="1"/>
  <c r="AH46" i="42"/>
  <c r="AH47" i="72" s="1"/>
  <c r="AH49" i="42"/>
  <c r="AH50" i="72" s="1"/>
  <c r="AH48" i="42"/>
  <c r="AH49" i="72" s="1"/>
  <c r="AL49" i="42"/>
  <c r="AL50" i="72" s="1"/>
  <c r="AL48" i="42"/>
  <c r="AL49" i="72" s="1"/>
  <c r="AL46" i="42"/>
  <c r="AL47" i="72" s="1"/>
  <c r="AL3" i="72"/>
  <c r="AL47" i="42"/>
  <c r="AL48" i="72" s="1"/>
  <c r="AG46" i="72"/>
  <c r="AE46" i="72"/>
  <c r="AJ48" i="42"/>
  <c r="AJ49" i="72" s="1"/>
  <c r="AJ47" i="42"/>
  <c r="AJ48" i="72" s="1"/>
  <c r="AJ49" i="42"/>
  <c r="AJ50" i="72" s="1"/>
  <c r="AJ3" i="72"/>
  <c r="AJ46" i="42"/>
  <c r="AJ47" i="72" s="1"/>
  <c r="AI46" i="72"/>
  <c r="F50" i="71"/>
  <c r="E26" i="71"/>
  <c r="C10" i="86"/>
  <c r="C10" i="87"/>
  <c r="H40" i="42"/>
  <c r="I5" i="42"/>
  <c r="E21" i="79"/>
  <c r="K41" i="71"/>
  <c r="D20" i="79"/>
  <c r="J40" i="71"/>
  <c r="F25" i="71"/>
  <c r="I46" i="71"/>
  <c r="G39" i="71"/>
  <c r="J47" i="71"/>
  <c r="E17" i="86"/>
  <c r="F59" i="78"/>
  <c r="D60" i="78" s="1"/>
  <c r="F19" i="79"/>
  <c r="C17" i="79"/>
  <c r="G17" i="79" s="1"/>
  <c r="E23" i="78"/>
  <c r="H22" i="78"/>
  <c r="AR43" i="42" l="1"/>
  <c r="AP43" i="42"/>
  <c r="AQ43" i="42" s="1"/>
  <c r="AM48" i="42"/>
  <c r="AM49" i="72" s="1"/>
  <c r="AM47" i="42"/>
  <c r="AM48" i="72" s="1"/>
  <c r="AM49" i="42"/>
  <c r="AM50" i="72" s="1"/>
  <c r="AM3" i="72"/>
  <c r="AM46" i="42"/>
  <c r="AM47" i="72" s="1"/>
  <c r="AL46" i="72"/>
  <c r="AJ46" i="72"/>
  <c r="AO49" i="42"/>
  <c r="AO50" i="72" s="1"/>
  <c r="AO3" i="72"/>
  <c r="AO46" i="42"/>
  <c r="AO47" i="72" s="1"/>
  <c r="AO48" i="42"/>
  <c r="AO49" i="72" s="1"/>
  <c r="AO47" i="42"/>
  <c r="AO48" i="72" s="1"/>
  <c r="AH46" i="72"/>
  <c r="AK46" i="42"/>
  <c r="AK47" i="72" s="1"/>
  <c r="AK49" i="42"/>
  <c r="AK50" i="72" s="1"/>
  <c r="AK3" i="72"/>
  <c r="AK47" i="42"/>
  <c r="AK48" i="72" s="1"/>
  <c r="AK48" i="42"/>
  <c r="AK49" i="72" s="1"/>
  <c r="F60" i="78"/>
  <c r="F26" i="71"/>
  <c r="C11" i="86"/>
  <c r="C11" i="87"/>
  <c r="I40" i="42"/>
  <c r="J5" i="42"/>
  <c r="G45" i="71"/>
  <c r="G24" i="71" s="1"/>
  <c r="H39" i="71"/>
  <c r="K47" i="71"/>
  <c r="J46" i="71"/>
  <c r="D21" i="79"/>
  <c r="K40" i="71"/>
  <c r="E22" i="79"/>
  <c r="L41" i="71"/>
  <c r="E18" i="86"/>
  <c r="F20" i="79"/>
  <c r="C18" i="79"/>
  <c r="G18" i="79" s="1"/>
  <c r="E24" i="78"/>
  <c r="H23" i="78"/>
  <c r="AS43" i="42" l="1"/>
  <c r="AT43" i="42" s="1"/>
  <c r="AM46" i="72"/>
  <c r="AR49" i="42"/>
  <c r="AR50" i="72" s="1"/>
  <c r="AR3" i="72"/>
  <c r="AR48" i="42"/>
  <c r="AR49" i="72" s="1"/>
  <c r="AR46" i="42"/>
  <c r="AR47" i="72" s="1"/>
  <c r="AR47" i="42"/>
  <c r="AR48" i="72" s="1"/>
  <c r="AP48" i="42"/>
  <c r="AP49" i="72" s="1"/>
  <c r="AP47" i="42"/>
  <c r="AP48" i="72" s="1"/>
  <c r="AP49" i="42"/>
  <c r="AP50" i="72" s="1"/>
  <c r="AP3" i="72"/>
  <c r="AP46" i="42"/>
  <c r="AP47" i="72" s="1"/>
  <c r="AO46" i="72"/>
  <c r="AK46" i="72"/>
  <c r="AN46" i="42"/>
  <c r="AN47" i="72" s="1"/>
  <c r="AN3" i="72"/>
  <c r="AN47" i="42"/>
  <c r="AN48" i="72" s="1"/>
  <c r="AN48" i="42"/>
  <c r="AN49" i="72" s="1"/>
  <c r="AN49" i="42"/>
  <c r="AN50" i="72" s="1"/>
  <c r="G50" i="71"/>
  <c r="C12" i="86"/>
  <c r="C12" i="87"/>
  <c r="J40" i="42"/>
  <c r="K5" i="42"/>
  <c r="D22" i="79"/>
  <c r="L40" i="71"/>
  <c r="I39" i="71"/>
  <c r="K46" i="71"/>
  <c r="L47" i="71"/>
  <c r="K40" i="42"/>
  <c r="H45" i="71"/>
  <c r="H24" i="71" s="1"/>
  <c r="E23" i="79"/>
  <c r="M41" i="71"/>
  <c r="G25" i="71"/>
  <c r="G60" i="78"/>
  <c r="E20" i="86"/>
  <c r="F21" i="79"/>
  <c r="C19" i="79"/>
  <c r="G19" i="79" s="1"/>
  <c r="H24" i="78"/>
  <c r="E25" i="78"/>
  <c r="AN46" i="72" l="1"/>
  <c r="AP46" i="72"/>
  <c r="AQ48" i="42"/>
  <c r="AQ49" i="72" s="1"/>
  <c r="AQ46" i="42"/>
  <c r="AQ47" i="72" s="1"/>
  <c r="AQ47" i="42"/>
  <c r="AQ48" i="72" s="1"/>
  <c r="AQ3" i="72"/>
  <c r="AQ49" i="42"/>
  <c r="AQ50" i="72" s="1"/>
  <c r="AR46" i="72"/>
  <c r="AU48" i="42"/>
  <c r="AU49" i="72" s="1"/>
  <c r="AU46" i="42"/>
  <c r="AU47" i="72" s="1"/>
  <c r="AU3" i="72"/>
  <c r="AU49" i="42"/>
  <c r="AU50" i="72" s="1"/>
  <c r="C13" i="94"/>
  <c r="AU47" i="42"/>
  <c r="AU48" i="72" s="1"/>
  <c r="AS48" i="42"/>
  <c r="AS49" i="72" s="1"/>
  <c r="AS3" i="72"/>
  <c r="AS46" i="42"/>
  <c r="AS47" i="72" s="1"/>
  <c r="AS47" i="42"/>
  <c r="AS48" i="72" s="1"/>
  <c r="AS49" i="42"/>
  <c r="AS50" i="72" s="1"/>
  <c r="H50" i="71"/>
  <c r="C14" i="87"/>
  <c r="C14" i="86"/>
  <c r="C13" i="86"/>
  <c r="C13" i="87"/>
  <c r="L5" i="42"/>
  <c r="G26" i="71"/>
  <c r="H25" i="71"/>
  <c r="E24" i="79"/>
  <c r="N41" i="71"/>
  <c r="I45" i="71"/>
  <c r="I24" i="71" s="1"/>
  <c r="L40" i="42"/>
  <c r="L46" i="71"/>
  <c r="J39" i="71"/>
  <c r="M47" i="71"/>
  <c r="D23" i="79"/>
  <c r="M40" i="71"/>
  <c r="F22" i="79"/>
  <c r="C20" i="79"/>
  <c r="G20" i="79" s="1"/>
  <c r="E26" i="78"/>
  <c r="H25" i="78"/>
  <c r="AT49" i="42" l="1"/>
  <c r="AT50" i="72" s="1"/>
  <c r="AT3" i="72"/>
  <c r="AT46" i="42"/>
  <c r="AT47" i="72" s="1"/>
  <c r="AT47" i="42"/>
  <c r="AT48" i="72" s="1"/>
  <c r="AT48" i="42"/>
  <c r="AT49" i="72" s="1"/>
  <c r="C16" i="94"/>
  <c r="C18" i="94" s="1"/>
  <c r="C15" i="94"/>
  <c r="C20" i="94"/>
  <c r="AU46" i="72"/>
  <c r="AQ46" i="72"/>
  <c r="AS46" i="72"/>
  <c r="I50" i="71"/>
  <c r="C15" i="87"/>
  <c r="C15" i="86"/>
  <c r="M5" i="42"/>
  <c r="J45" i="71"/>
  <c r="J24" i="71" s="1"/>
  <c r="M46" i="71"/>
  <c r="D24" i="79"/>
  <c r="N40" i="71"/>
  <c r="E25" i="79"/>
  <c r="O41" i="71"/>
  <c r="K39" i="71"/>
  <c r="N47" i="71"/>
  <c r="I25" i="71"/>
  <c r="H26" i="71"/>
  <c r="E21" i="86"/>
  <c r="F23" i="79"/>
  <c r="C21" i="79"/>
  <c r="G21" i="79" s="1"/>
  <c r="H26" i="78"/>
  <c r="E27" i="78"/>
  <c r="AT46" i="72" l="1"/>
  <c r="J50" i="71"/>
  <c r="I26" i="71"/>
  <c r="N5" i="42"/>
  <c r="M40" i="42"/>
  <c r="L39" i="71"/>
  <c r="O47" i="71"/>
  <c r="K45" i="71"/>
  <c r="K24" i="71" s="1"/>
  <c r="D25" i="79"/>
  <c r="O40" i="71"/>
  <c r="N46" i="71"/>
  <c r="E26" i="79"/>
  <c r="P41" i="71"/>
  <c r="J25" i="71"/>
  <c r="E22" i="86"/>
  <c r="F24" i="79"/>
  <c r="C22" i="79"/>
  <c r="G22" i="79" s="1"/>
  <c r="E28" i="78"/>
  <c r="H27" i="78"/>
  <c r="K50" i="71" l="1"/>
  <c r="C16" i="87"/>
  <c r="C16" i="86"/>
  <c r="N40" i="42"/>
  <c r="O5" i="42"/>
  <c r="E27" i="79"/>
  <c r="Q41" i="71"/>
  <c r="M39" i="71"/>
  <c r="D26" i="79"/>
  <c r="P40" i="71"/>
  <c r="O46" i="71"/>
  <c r="L45" i="71"/>
  <c r="L24" i="71" s="1"/>
  <c r="P47" i="71"/>
  <c r="J26" i="71"/>
  <c r="K25" i="71"/>
  <c r="E23" i="86"/>
  <c r="F25" i="79"/>
  <c r="C23" i="79"/>
  <c r="G23" i="79" s="1"/>
  <c r="E29" i="78"/>
  <c r="H28" i="78"/>
  <c r="L50" i="71" l="1"/>
  <c r="C17" i="87"/>
  <c r="C17" i="86"/>
  <c r="O40" i="42"/>
  <c r="P5" i="42"/>
  <c r="N39" i="71"/>
  <c r="D27" i="79"/>
  <c r="Q40" i="71"/>
  <c r="L25" i="71"/>
  <c r="P40" i="42"/>
  <c r="M45" i="71"/>
  <c r="M24" i="71" s="1"/>
  <c r="Q47" i="71"/>
  <c r="P46" i="71"/>
  <c r="K26" i="71"/>
  <c r="E28" i="79"/>
  <c r="R41" i="71"/>
  <c r="E24" i="86"/>
  <c r="F26" i="79"/>
  <c r="C24" i="79"/>
  <c r="G24" i="79" s="1"/>
  <c r="H29" i="78"/>
  <c r="E30" i="78"/>
  <c r="M50" i="71" l="1"/>
  <c r="C19" i="87"/>
  <c r="C19" i="86"/>
  <c r="C18" i="87"/>
  <c r="C18" i="86"/>
  <c r="L26" i="71"/>
  <c r="Q5" i="42"/>
  <c r="O39" i="71"/>
  <c r="M25" i="71"/>
  <c r="Q40" i="42"/>
  <c r="R47" i="71"/>
  <c r="N45" i="71"/>
  <c r="N24" i="71" s="1"/>
  <c r="Q46" i="71"/>
  <c r="D28" i="79"/>
  <c r="R40" i="71"/>
  <c r="E29" i="79"/>
  <c r="S41" i="71"/>
  <c r="E25" i="86"/>
  <c r="F27" i="79"/>
  <c r="C25" i="79"/>
  <c r="G25" i="79" s="1"/>
  <c r="E31" i="78"/>
  <c r="H30" i="78"/>
  <c r="N50" i="71" l="1"/>
  <c r="M26" i="71"/>
  <c r="C20" i="87"/>
  <c r="C20" i="86"/>
  <c r="R5" i="42"/>
  <c r="N25" i="71"/>
  <c r="R40" i="42"/>
  <c r="S47" i="71"/>
  <c r="P39" i="71"/>
  <c r="E30" i="79"/>
  <c r="T41" i="71"/>
  <c r="D29" i="79"/>
  <c r="S40" i="71"/>
  <c r="R46" i="71"/>
  <c r="O45" i="71"/>
  <c r="O24" i="71" s="1"/>
  <c r="E26" i="86"/>
  <c r="F28" i="79"/>
  <c r="C26" i="79"/>
  <c r="G26" i="79" s="1"/>
  <c r="E32" i="78"/>
  <c r="H31" i="78"/>
  <c r="O50" i="71" l="1"/>
  <c r="C21" i="87"/>
  <c r="C21" i="86"/>
  <c r="N26" i="71"/>
  <c r="S5" i="42"/>
  <c r="P45" i="71"/>
  <c r="P24" i="71" s="1"/>
  <c r="T47" i="71"/>
  <c r="D30" i="79"/>
  <c r="T40" i="71"/>
  <c r="Q39" i="71"/>
  <c r="S46" i="71"/>
  <c r="E31" i="79"/>
  <c r="U41" i="71"/>
  <c r="S40" i="42"/>
  <c r="O25" i="71"/>
  <c r="E27" i="86"/>
  <c r="F29" i="79"/>
  <c r="C27" i="79"/>
  <c r="G27" i="79" s="1"/>
  <c r="H32" i="78"/>
  <c r="E33" i="78"/>
  <c r="P50" i="71" l="1"/>
  <c r="C22" i="87"/>
  <c r="C22" i="86"/>
  <c r="T5" i="42"/>
  <c r="O26" i="71"/>
  <c r="R39" i="71"/>
  <c r="T46" i="71"/>
  <c r="U47" i="71"/>
  <c r="Q45" i="71"/>
  <c r="Q24" i="71" s="1"/>
  <c r="D31" i="79"/>
  <c r="U40" i="71"/>
  <c r="E32" i="79"/>
  <c r="V41" i="71"/>
  <c r="T40" i="42"/>
  <c r="P25" i="71"/>
  <c r="E28" i="86"/>
  <c r="F30" i="79"/>
  <c r="C28" i="79"/>
  <c r="G28" i="79" s="1"/>
  <c r="E34" i="78"/>
  <c r="H33" i="78"/>
  <c r="Q50" i="71" l="1"/>
  <c r="C23" i="87"/>
  <c r="C23" i="86"/>
  <c r="P26" i="71"/>
  <c r="U5" i="42"/>
  <c r="U46" i="71"/>
  <c r="E33" i="79"/>
  <c r="W41" i="71"/>
  <c r="V47" i="71"/>
  <c r="D32" i="79"/>
  <c r="V40" i="71"/>
  <c r="Q25" i="71"/>
  <c r="U40" i="42"/>
  <c r="S39" i="71"/>
  <c r="R45" i="71"/>
  <c r="R24" i="71" s="1"/>
  <c r="E30" i="86"/>
  <c r="F31" i="79"/>
  <c r="C29" i="79"/>
  <c r="G29" i="79" s="1"/>
  <c r="E35" i="78"/>
  <c r="H34" i="78"/>
  <c r="R50" i="71" l="1"/>
  <c r="C24" i="87"/>
  <c r="C24" i="86"/>
  <c r="Q26" i="71"/>
  <c r="V5" i="42"/>
  <c r="R25" i="71"/>
  <c r="S45" i="71"/>
  <c r="S24" i="71" s="1"/>
  <c r="D33" i="79"/>
  <c r="W40" i="71"/>
  <c r="E34" i="79"/>
  <c r="X41" i="71"/>
  <c r="T39" i="71"/>
  <c r="V40" i="42"/>
  <c r="V46" i="71"/>
  <c r="W47" i="71"/>
  <c r="F32" i="79"/>
  <c r="C30" i="79"/>
  <c r="G30" i="79" s="1"/>
  <c r="E36" i="78"/>
  <c r="H35" i="78"/>
  <c r="S50" i="71" l="1"/>
  <c r="C25" i="46"/>
  <c r="C25" i="86"/>
  <c r="C25" i="87"/>
  <c r="W5" i="42"/>
  <c r="X47" i="71"/>
  <c r="W46" i="71"/>
  <c r="T45" i="71"/>
  <c r="T24" i="71" s="1"/>
  <c r="D34" i="79"/>
  <c r="X40" i="71"/>
  <c r="S25" i="71"/>
  <c r="W40" i="42"/>
  <c r="E35" i="79"/>
  <c r="Y41" i="71"/>
  <c r="U39" i="71"/>
  <c r="R26" i="71"/>
  <c r="E31" i="86"/>
  <c r="F33" i="79"/>
  <c r="C31" i="79"/>
  <c r="G31" i="79" s="1"/>
  <c r="E37" i="78"/>
  <c r="H36" i="78"/>
  <c r="T50" i="71" l="1"/>
  <c r="C26" i="86"/>
  <c r="C26" i="87"/>
  <c r="S26" i="71"/>
  <c r="X5" i="42"/>
  <c r="U45" i="71"/>
  <c r="U24" i="71" s="1"/>
  <c r="D35" i="79"/>
  <c r="Y40" i="71"/>
  <c r="X46" i="71"/>
  <c r="V39" i="71"/>
  <c r="T25" i="71"/>
  <c r="E36" i="79"/>
  <c r="Z41" i="71"/>
  <c r="Y47" i="71"/>
  <c r="E32" i="86"/>
  <c r="F34" i="79"/>
  <c r="C32" i="79"/>
  <c r="G32" i="79" s="1"/>
  <c r="H37" i="78"/>
  <c r="E38" i="78"/>
  <c r="U50" i="71" l="1"/>
  <c r="Y5" i="42"/>
  <c r="T26" i="71"/>
  <c r="X40" i="42"/>
  <c r="E37" i="79"/>
  <c r="AA41" i="71"/>
  <c r="Z47" i="71"/>
  <c r="V45" i="71"/>
  <c r="V24" i="71" s="1"/>
  <c r="D36" i="79"/>
  <c r="Z40" i="71"/>
  <c r="Y46" i="71"/>
  <c r="U25" i="71"/>
  <c r="W39" i="71"/>
  <c r="Y40" i="42"/>
  <c r="E33" i="86"/>
  <c r="F35" i="79"/>
  <c r="C33" i="79"/>
  <c r="G33" i="79" s="1"/>
  <c r="E39" i="78"/>
  <c r="H38" i="78"/>
  <c r="V50" i="71" l="1"/>
  <c r="C27" i="86"/>
  <c r="C27" i="87"/>
  <c r="C28" i="86"/>
  <c r="C28" i="87"/>
  <c r="U26" i="71"/>
  <c r="Z5" i="42"/>
  <c r="V25" i="71"/>
  <c r="W45" i="71"/>
  <c r="W24" i="71" s="1"/>
  <c r="D37" i="79"/>
  <c r="AA40" i="71"/>
  <c r="Z40" i="42"/>
  <c r="E38" i="79"/>
  <c r="AB41" i="71"/>
  <c r="Z46" i="71"/>
  <c r="X39" i="71"/>
  <c r="AA47" i="71"/>
  <c r="E34" i="86"/>
  <c r="F36" i="79"/>
  <c r="C34" i="79"/>
  <c r="G34" i="79" s="1"/>
  <c r="E40" i="78"/>
  <c r="H39" i="78"/>
  <c r="W50" i="71" l="1"/>
  <c r="V26" i="71"/>
  <c r="C29" i="86"/>
  <c r="C29" i="87"/>
  <c r="AA5" i="42"/>
  <c r="E39" i="79"/>
  <c r="AC41" i="71"/>
  <c r="AA46" i="71"/>
  <c r="AB47" i="71"/>
  <c r="D38" i="79"/>
  <c r="AB40" i="71"/>
  <c r="Y39" i="71"/>
  <c r="X45" i="71"/>
  <c r="X24" i="71" s="1"/>
  <c r="AA40" i="42"/>
  <c r="W25" i="71"/>
  <c r="E35" i="86"/>
  <c r="F37" i="79"/>
  <c r="C35" i="79"/>
  <c r="G35" i="79" s="1"/>
  <c r="H40" i="78"/>
  <c r="E41" i="78"/>
  <c r="X50" i="71" l="1"/>
  <c r="C30" i="87"/>
  <c r="C30" i="86"/>
  <c r="AB5" i="42"/>
  <c r="W26" i="71"/>
  <c r="Y45" i="71"/>
  <c r="Y24" i="71" s="1"/>
  <c r="Z39" i="71"/>
  <c r="AB46" i="71"/>
  <c r="AC47" i="71"/>
  <c r="X25" i="71"/>
  <c r="D39" i="79"/>
  <c r="AC40" i="71"/>
  <c r="AB40" i="42"/>
  <c r="E40" i="79"/>
  <c r="AD41" i="71"/>
  <c r="E36" i="86"/>
  <c r="F38" i="79"/>
  <c r="C36" i="79"/>
  <c r="G36" i="79" s="1"/>
  <c r="E42" i="78"/>
  <c r="H41" i="78"/>
  <c r="Y50" i="71" l="1"/>
  <c r="X26" i="71"/>
  <c r="C31" i="87"/>
  <c r="C31" i="86"/>
  <c r="AC5" i="42"/>
  <c r="D40" i="79"/>
  <c r="AD40" i="71"/>
  <c r="Z45" i="71"/>
  <c r="Z24" i="71" s="1"/>
  <c r="AC46" i="71"/>
  <c r="AA39" i="71"/>
  <c r="AC40" i="42"/>
  <c r="E41" i="79"/>
  <c r="AE41" i="71"/>
  <c r="AD47" i="71"/>
  <c r="Y25" i="71"/>
  <c r="E37" i="86"/>
  <c r="E38" i="86" s="1"/>
  <c r="F39" i="79"/>
  <c r="C37" i="79"/>
  <c r="G37" i="79" s="1"/>
  <c r="H42" i="78"/>
  <c r="E43" i="78"/>
  <c r="Z50" i="71" l="1"/>
  <c r="C32" i="87"/>
  <c r="C32" i="86"/>
  <c r="AD5" i="42"/>
  <c r="E42" i="79"/>
  <c r="AF41" i="71"/>
  <c r="AB39" i="71"/>
  <c r="Z25" i="71"/>
  <c r="AA45" i="71"/>
  <c r="AA24" i="71" s="1"/>
  <c r="AD46" i="71"/>
  <c r="AE47" i="71"/>
  <c r="AD40" i="42"/>
  <c r="Y26" i="71"/>
  <c r="D41" i="79"/>
  <c r="AE40" i="71"/>
  <c r="F40" i="79"/>
  <c r="C38" i="79"/>
  <c r="G38" i="79" s="1"/>
  <c r="E44" i="78"/>
  <c r="H43" i="78"/>
  <c r="AA50" i="71" l="1"/>
  <c r="C33" i="87"/>
  <c r="C33" i="86"/>
  <c r="AE5" i="42"/>
  <c r="AA25" i="71"/>
  <c r="AC39" i="71"/>
  <c r="AB45" i="71"/>
  <c r="AB24" i="71" s="1"/>
  <c r="Z26" i="71"/>
  <c r="AE46" i="71"/>
  <c r="E43" i="79"/>
  <c r="AG41" i="71"/>
  <c r="AE40" i="42"/>
  <c r="AF47" i="71"/>
  <c r="D42" i="79"/>
  <c r="AF40" i="71"/>
  <c r="E40" i="86"/>
  <c r="F41" i="79"/>
  <c r="C39" i="79"/>
  <c r="G39" i="79" s="1"/>
  <c r="E45" i="78"/>
  <c r="H44" i="78"/>
  <c r="AA26" i="71" l="1"/>
  <c r="AB50" i="71"/>
  <c r="C34" i="87"/>
  <c r="C34" i="86"/>
  <c r="AF5" i="42"/>
  <c r="E44" i="79"/>
  <c r="AH41" i="71"/>
  <c r="AG47" i="71"/>
  <c r="AD39" i="71"/>
  <c r="AC45" i="71"/>
  <c r="AC24" i="71" s="1"/>
  <c r="AB25" i="71"/>
  <c r="AF46" i="71"/>
  <c r="D43" i="79"/>
  <c r="AG40" i="71"/>
  <c r="E41" i="86"/>
  <c r="F42" i="79"/>
  <c r="C40" i="79"/>
  <c r="G40" i="79" s="1"/>
  <c r="H45" i="78"/>
  <c r="E46" i="78"/>
  <c r="AC50" i="71" l="1"/>
  <c r="AF40" i="42"/>
  <c r="AB26" i="71"/>
  <c r="AG5" i="42"/>
  <c r="D44" i="79"/>
  <c r="AH40" i="71"/>
  <c r="AG46" i="71"/>
  <c r="AD45" i="71"/>
  <c r="AD24" i="71" s="1"/>
  <c r="AH47" i="71"/>
  <c r="AC25" i="71"/>
  <c r="AE39" i="71"/>
  <c r="E45" i="79"/>
  <c r="AI41" i="71"/>
  <c r="F43" i="79"/>
  <c r="C41" i="79"/>
  <c r="G41" i="79" s="1"/>
  <c r="E47" i="78"/>
  <c r="H46" i="78"/>
  <c r="AD50" i="71" l="1"/>
  <c r="C35" i="87"/>
  <c r="C35" i="86"/>
  <c r="AG40" i="42"/>
  <c r="AH5" i="42"/>
  <c r="E46" i="79"/>
  <c r="AJ41" i="71"/>
  <c r="AE45" i="71"/>
  <c r="AE24" i="71" s="1"/>
  <c r="AI47" i="71"/>
  <c r="AC26" i="71"/>
  <c r="AD25" i="71"/>
  <c r="AH46" i="71"/>
  <c r="AF39" i="71"/>
  <c r="AH40" i="42"/>
  <c r="D45" i="79"/>
  <c r="AI40" i="71"/>
  <c r="E42" i="86"/>
  <c r="F44" i="79"/>
  <c r="C42" i="79"/>
  <c r="G42" i="79" s="1"/>
  <c r="E48" i="78"/>
  <c r="H47" i="78"/>
  <c r="AE50" i="71" l="1"/>
  <c r="AD26" i="71"/>
  <c r="C36" i="87"/>
  <c r="C36" i="86"/>
  <c r="C37" i="87"/>
  <c r="C37" i="86"/>
  <c r="AI5" i="42"/>
  <c r="AE25" i="71"/>
  <c r="AF45" i="71"/>
  <c r="AF24" i="71" s="1"/>
  <c r="AI40" i="42"/>
  <c r="AJ47" i="71"/>
  <c r="AG39" i="71"/>
  <c r="AI46" i="71"/>
  <c r="D46" i="79"/>
  <c r="AJ40" i="71"/>
  <c r="E47" i="79"/>
  <c r="AK41" i="71"/>
  <c r="E43" i="86"/>
  <c r="F45" i="79"/>
  <c r="C43" i="79"/>
  <c r="G43" i="79" s="1"/>
  <c r="E49" i="78"/>
  <c r="H48" i="78"/>
  <c r="AF50" i="71" l="1"/>
  <c r="AE26" i="71"/>
  <c r="C38" i="87"/>
  <c r="C38" i="86"/>
  <c r="AJ5" i="42"/>
  <c r="AJ46" i="71"/>
  <c r="E48" i="79"/>
  <c r="AL41" i="71"/>
  <c r="D47" i="79"/>
  <c r="AK40" i="71"/>
  <c r="AJ40" i="42"/>
  <c r="AG45" i="71"/>
  <c r="AG24" i="71" s="1"/>
  <c r="AF25" i="71"/>
  <c r="AH39" i="71"/>
  <c r="AK47" i="71"/>
  <c r="E44" i="86"/>
  <c r="F46" i="79"/>
  <c r="C44" i="79"/>
  <c r="G44" i="79" s="1"/>
  <c r="E50" i="78"/>
  <c r="H49" i="78"/>
  <c r="AG50" i="71" l="1"/>
  <c r="AF26" i="71"/>
  <c r="C39" i="87"/>
  <c r="C39" i="86"/>
  <c r="AK5" i="42"/>
  <c r="AH45" i="71"/>
  <c r="AH24" i="71" s="1"/>
  <c r="AI39" i="71"/>
  <c r="AK46" i="71"/>
  <c r="D48" i="79"/>
  <c r="AL40" i="71"/>
  <c r="E49" i="79"/>
  <c r="AM41" i="71"/>
  <c r="AK40" i="42"/>
  <c r="AG25" i="71"/>
  <c r="AL47" i="71"/>
  <c r="E45" i="86"/>
  <c r="F47" i="79"/>
  <c r="C45" i="79"/>
  <c r="G45" i="79" s="1"/>
  <c r="H50" i="78"/>
  <c r="E51" i="78"/>
  <c r="AH50" i="71" l="1"/>
  <c r="C40" i="87"/>
  <c r="C40" i="86"/>
  <c r="AL5" i="42"/>
  <c r="AM47" i="71"/>
  <c r="D49" i="79"/>
  <c r="AM40" i="71"/>
  <c r="AJ39" i="71"/>
  <c r="AG26" i="71"/>
  <c r="E50" i="79"/>
  <c r="AN41" i="71"/>
  <c r="AI45" i="71"/>
  <c r="AI24" i="71" s="1"/>
  <c r="AH25" i="71"/>
  <c r="AL46" i="71"/>
  <c r="E46" i="86"/>
  <c r="F48" i="79"/>
  <c r="C46" i="79"/>
  <c r="G46" i="79" s="1"/>
  <c r="E52" i="78"/>
  <c r="H51" i="78"/>
  <c r="AI50" i="71" l="1"/>
  <c r="AH26" i="71"/>
  <c r="AL40" i="42"/>
  <c r="AM5" i="42"/>
  <c r="AN47" i="71"/>
  <c r="D50" i="79"/>
  <c r="AN40" i="71"/>
  <c r="E51" i="79"/>
  <c r="AO41" i="71"/>
  <c r="AJ45" i="71"/>
  <c r="AJ24" i="71" s="1"/>
  <c r="AI25" i="71"/>
  <c r="AK39" i="71"/>
  <c r="AM46" i="71"/>
  <c r="E47" i="86"/>
  <c r="F49" i="79"/>
  <c r="C47" i="79"/>
  <c r="G47" i="79" s="1"/>
  <c r="E53" i="78"/>
  <c r="H52" i="78"/>
  <c r="AJ50" i="71" l="1"/>
  <c r="C41" i="86"/>
  <c r="C41" i="87"/>
  <c r="AM40" i="42"/>
  <c r="AI26" i="71"/>
  <c r="AN5" i="42"/>
  <c r="AK45" i="71"/>
  <c r="AK24" i="71" s="1"/>
  <c r="AJ25" i="71"/>
  <c r="E52" i="79"/>
  <c r="AP41" i="71"/>
  <c r="AO47" i="71"/>
  <c r="AL39" i="71"/>
  <c r="D51" i="79"/>
  <c r="AO40" i="71"/>
  <c r="AN46" i="71"/>
  <c r="F50" i="79"/>
  <c r="C48" i="79"/>
  <c r="G48" i="79" s="1"/>
  <c r="H53" i="78"/>
  <c r="E54" i="78"/>
  <c r="AK50" i="71" l="1"/>
  <c r="AJ26" i="71"/>
  <c r="C42" i="86"/>
  <c r="C42" i="87"/>
  <c r="AN40" i="42"/>
  <c r="AO5" i="42"/>
  <c r="AO46" i="71"/>
  <c r="AL45" i="71"/>
  <c r="AL24" i="71" s="1"/>
  <c r="AM39" i="71"/>
  <c r="AP47" i="71"/>
  <c r="E53" i="79"/>
  <c r="AQ41" i="71"/>
  <c r="AK25" i="71"/>
  <c r="D52" i="79"/>
  <c r="AP40" i="71"/>
  <c r="F51" i="79"/>
  <c r="C49" i="79"/>
  <c r="G49" i="79" s="1"/>
  <c r="E55" i="78"/>
  <c r="H54" i="78"/>
  <c r="AL50" i="71" l="1"/>
  <c r="C43" i="86"/>
  <c r="C43" i="87"/>
  <c r="AK26" i="71"/>
  <c r="AP5" i="42"/>
  <c r="AO40" i="42"/>
  <c r="E54" i="79"/>
  <c r="AR41" i="71"/>
  <c r="D53" i="79"/>
  <c r="AQ40" i="71"/>
  <c r="AN39" i="71"/>
  <c r="AQ47" i="71"/>
  <c r="AP40" i="42"/>
  <c r="AL25" i="71"/>
  <c r="AP46" i="71"/>
  <c r="AM45" i="71"/>
  <c r="AM24" i="71" s="1"/>
  <c r="F52" i="79"/>
  <c r="C50" i="79"/>
  <c r="G50" i="79" s="1"/>
  <c r="E56" i="78"/>
  <c r="H55" i="78"/>
  <c r="AM50" i="71" l="1"/>
  <c r="AL26" i="71"/>
  <c r="C45" i="86"/>
  <c r="C45" i="87"/>
  <c r="C44" i="86"/>
  <c r="C44" i="87"/>
  <c r="AQ5" i="42"/>
  <c r="D54" i="79"/>
  <c r="AR40" i="71"/>
  <c r="AO39" i="71"/>
  <c r="AM25" i="71"/>
  <c r="AQ46" i="71"/>
  <c r="AR47" i="71"/>
  <c r="AN45" i="71"/>
  <c r="AN24" i="71" s="1"/>
  <c r="AQ40" i="42"/>
  <c r="E55" i="79"/>
  <c r="AS41" i="71"/>
  <c r="F53" i="79"/>
  <c r="C51" i="79"/>
  <c r="G51" i="79" s="1"/>
  <c r="H56" i="78"/>
  <c r="E57" i="78"/>
  <c r="AN50" i="71" l="1"/>
  <c r="C46" i="87"/>
  <c r="C46" i="86"/>
  <c r="AR5" i="42"/>
  <c r="AN25" i="71"/>
  <c r="AN26" i="71"/>
  <c r="AP39" i="71"/>
  <c r="AO45" i="71"/>
  <c r="AO24" i="71" s="1"/>
  <c r="E56" i="79"/>
  <c r="AT41" i="71"/>
  <c r="AR40" i="42"/>
  <c r="AM26" i="71"/>
  <c r="AR46" i="71"/>
  <c r="AS47" i="71"/>
  <c r="D55" i="79"/>
  <c r="AS40" i="71"/>
  <c r="F54" i="79"/>
  <c r="C52" i="79"/>
  <c r="G52" i="79" s="1"/>
  <c r="E58" i="78"/>
  <c r="H57" i="78"/>
  <c r="AO50" i="71" l="1"/>
  <c r="C47" i="87"/>
  <c r="C47" i="86"/>
  <c r="AS5" i="42"/>
  <c r="AP45" i="71"/>
  <c r="AP24" i="71" s="1"/>
  <c r="E57" i="79"/>
  <c r="E58" i="79" s="1"/>
  <c r="E59" i="79" s="1"/>
  <c r="E60" i="79" s="1"/>
  <c r="E61" i="79" s="1"/>
  <c r="E62" i="79" s="1"/>
  <c r="E63" i="79" s="1"/>
  <c r="E64" i="79" s="1"/>
  <c r="E65" i="79" s="1"/>
  <c r="E66" i="79" s="1"/>
  <c r="E67" i="79" s="1"/>
  <c r="E68" i="79" s="1"/>
  <c r="E69" i="79" s="1"/>
  <c r="E70" i="79" s="1"/>
  <c r="E71" i="79" s="1"/>
  <c r="E72" i="79" s="1"/>
  <c r="E73" i="79" s="1"/>
  <c r="E74" i="79" s="1"/>
  <c r="E75" i="79" s="1"/>
  <c r="E76" i="79" s="1"/>
  <c r="E77" i="79" s="1"/>
  <c r="E78" i="79" s="1"/>
  <c r="E79" i="79" s="1"/>
  <c r="E80" i="79" s="1"/>
  <c r="E81" i="79" s="1"/>
  <c r="E82" i="79" s="1"/>
  <c r="E83" i="79" s="1"/>
  <c r="E84" i="79" s="1"/>
  <c r="E85" i="79" s="1"/>
  <c r="E86" i="79" s="1"/>
  <c r="E87" i="79" s="1"/>
  <c r="E88" i="79" s="1"/>
  <c r="E89" i="79" s="1"/>
  <c r="E90" i="79" s="1"/>
  <c r="E91" i="79" s="1"/>
  <c r="E92" i="79" s="1"/>
  <c r="E93" i="79" s="1"/>
  <c r="E94" i="79" s="1"/>
  <c r="E95" i="79" s="1"/>
  <c r="E96" i="79" s="1"/>
  <c r="E97" i="79" s="1"/>
  <c r="E98" i="79" s="1"/>
  <c r="E99" i="79" s="1"/>
  <c r="E100" i="79" s="1"/>
  <c r="E101" i="79" s="1"/>
  <c r="E102" i="79" s="1"/>
  <c r="E103" i="79" s="1"/>
  <c r="E104" i="79" s="1"/>
  <c r="E105" i="79" s="1"/>
  <c r="E106" i="79" s="1"/>
  <c r="E107" i="79" s="1"/>
  <c r="E108" i="79" s="1"/>
  <c r="E109" i="79" s="1"/>
  <c r="E110" i="79" s="1"/>
  <c r="E111" i="79" s="1"/>
  <c r="E112" i="79" s="1"/>
  <c r="E113" i="79" s="1"/>
  <c r="E114" i="79" s="1"/>
  <c r="E115" i="79" s="1"/>
  <c r="E116" i="79" s="1"/>
  <c r="E117" i="79" s="1"/>
  <c r="E118" i="79" s="1"/>
  <c r="E119" i="79" s="1"/>
  <c r="E120" i="79" s="1"/>
  <c r="E121" i="79" s="1"/>
  <c r="E122" i="79" s="1"/>
  <c r="E123" i="79" s="1"/>
  <c r="E124" i="79" s="1"/>
  <c r="E125" i="79" s="1"/>
  <c r="E126" i="79" s="1"/>
  <c r="E127" i="79" s="1"/>
  <c r="E128" i="79" s="1"/>
  <c r="E129" i="79" s="1"/>
  <c r="E130" i="79" s="1"/>
  <c r="AU41" i="71"/>
  <c r="AS40" i="42"/>
  <c r="AT47" i="71"/>
  <c r="AQ39" i="71"/>
  <c r="AO25" i="71"/>
  <c r="AS46" i="71"/>
  <c r="D56" i="79"/>
  <c r="AT40" i="71"/>
  <c r="F55" i="79"/>
  <c r="C53" i="79"/>
  <c r="G53" i="79" s="1"/>
  <c r="H58" i="78"/>
  <c r="E59" i="78"/>
  <c r="AP50" i="71" l="1"/>
  <c r="C48" i="87"/>
  <c r="C48" i="86"/>
  <c r="AT5" i="42"/>
  <c r="D57" i="79"/>
  <c r="D58" i="79" s="1"/>
  <c r="D59" i="79" s="1"/>
  <c r="D60" i="79" s="1"/>
  <c r="D61" i="79" s="1"/>
  <c r="D62" i="79" s="1"/>
  <c r="D63" i="79" s="1"/>
  <c r="D64" i="79" s="1"/>
  <c r="D65" i="79" s="1"/>
  <c r="D66" i="79" s="1"/>
  <c r="D67" i="79" s="1"/>
  <c r="D68" i="79" s="1"/>
  <c r="D69" i="79" s="1"/>
  <c r="D70" i="79" s="1"/>
  <c r="D71" i="79" s="1"/>
  <c r="D72" i="79" s="1"/>
  <c r="D73" i="79" s="1"/>
  <c r="D74" i="79" s="1"/>
  <c r="D75" i="79" s="1"/>
  <c r="D76" i="79" s="1"/>
  <c r="D77" i="79" s="1"/>
  <c r="D78" i="79" s="1"/>
  <c r="D79" i="79" s="1"/>
  <c r="D80" i="79" s="1"/>
  <c r="D81" i="79" s="1"/>
  <c r="D82" i="79" s="1"/>
  <c r="D83" i="79" s="1"/>
  <c r="D84" i="79" s="1"/>
  <c r="D85" i="79" s="1"/>
  <c r="D86" i="79" s="1"/>
  <c r="D87" i="79" s="1"/>
  <c r="D88" i="79" s="1"/>
  <c r="D89" i="79" s="1"/>
  <c r="D90" i="79" s="1"/>
  <c r="D91" i="79" s="1"/>
  <c r="D92" i="79" s="1"/>
  <c r="D93" i="79" s="1"/>
  <c r="D94" i="79" s="1"/>
  <c r="D95" i="79" s="1"/>
  <c r="D96" i="79" s="1"/>
  <c r="D97" i="79" s="1"/>
  <c r="D98" i="79" s="1"/>
  <c r="D99" i="79" s="1"/>
  <c r="D100" i="79" s="1"/>
  <c r="D101" i="79" s="1"/>
  <c r="D102" i="79" s="1"/>
  <c r="D103" i="79" s="1"/>
  <c r="D104" i="79" s="1"/>
  <c r="D105" i="79" s="1"/>
  <c r="D106" i="79" s="1"/>
  <c r="D107" i="79" s="1"/>
  <c r="D108" i="79" s="1"/>
  <c r="D109" i="79" s="1"/>
  <c r="D110" i="79" s="1"/>
  <c r="D111" i="79" s="1"/>
  <c r="D112" i="79" s="1"/>
  <c r="D113" i="79" s="1"/>
  <c r="D114" i="79" s="1"/>
  <c r="D115" i="79" s="1"/>
  <c r="D116" i="79" s="1"/>
  <c r="D117" i="79" s="1"/>
  <c r="D118" i="79" s="1"/>
  <c r="D119" i="79" s="1"/>
  <c r="D120" i="79" s="1"/>
  <c r="D121" i="79" s="1"/>
  <c r="D122" i="79" s="1"/>
  <c r="D123" i="79" s="1"/>
  <c r="D124" i="79" s="1"/>
  <c r="D125" i="79" s="1"/>
  <c r="D126" i="79" s="1"/>
  <c r="D127" i="79" s="1"/>
  <c r="D128" i="79" s="1"/>
  <c r="D129" i="79" s="1"/>
  <c r="D130" i="79" s="1"/>
  <c r="AU40" i="71"/>
  <c r="AQ45" i="71"/>
  <c r="AQ24" i="71" s="1"/>
  <c r="AR39" i="71"/>
  <c r="AT40" i="42"/>
  <c r="AP25" i="71"/>
  <c r="AO26" i="71"/>
  <c r="AU47" i="71"/>
  <c r="AT46" i="71"/>
  <c r="F56" i="79"/>
  <c r="C54" i="79"/>
  <c r="G54" i="79" s="1"/>
  <c r="E60" i="78"/>
  <c r="H59" i="78"/>
  <c r="AQ50" i="71" l="1"/>
  <c r="C49" i="87"/>
  <c r="C49" i="86"/>
  <c r="AU5" i="42"/>
  <c r="AP26" i="71"/>
  <c r="AR45" i="71"/>
  <c r="AR24" i="71" s="1"/>
  <c r="AQ25" i="71"/>
  <c r="AS39" i="71"/>
  <c r="AU46" i="71"/>
  <c r="F57" i="79"/>
  <c r="C55" i="79"/>
  <c r="G55" i="79" s="1"/>
  <c r="H60" i="78"/>
  <c r="AR50" i="71" l="1"/>
  <c r="AU40" i="42"/>
  <c r="AQ26" i="71"/>
  <c r="AS45" i="71"/>
  <c r="AS24" i="71" s="1"/>
  <c r="AT39" i="71"/>
  <c r="AR25" i="71"/>
  <c r="F58" i="79"/>
  <c r="C56" i="79"/>
  <c r="G56" i="79" s="1"/>
  <c r="AS50" i="71" l="1"/>
  <c r="C50" i="87"/>
  <c r="C50" i="86"/>
  <c r="AU39" i="71"/>
  <c r="AT45" i="71"/>
  <c r="AT24" i="71" s="1"/>
  <c r="AR26" i="71"/>
  <c r="AS25" i="71"/>
  <c r="F59" i="79"/>
  <c r="C57" i="79"/>
  <c r="G57" i="79" s="1"/>
  <c r="AT50" i="71" l="1"/>
  <c r="AT25" i="71"/>
  <c r="AT26" i="71"/>
  <c r="AS26" i="71"/>
  <c r="AU45" i="71"/>
  <c r="AU24" i="71" s="1"/>
  <c r="F60" i="79"/>
  <c r="C58" i="79"/>
  <c r="G58" i="79" s="1"/>
  <c r="AU50" i="71" l="1"/>
  <c r="AU25" i="71"/>
  <c r="F61" i="79"/>
  <c r="C59" i="79"/>
  <c r="G59" i="79" s="1"/>
  <c r="AU26" i="71" l="1"/>
  <c r="F62" i="79"/>
  <c r="C60" i="79"/>
  <c r="G60" i="79" s="1"/>
  <c r="F63" i="79" l="1"/>
  <c r="C61" i="79"/>
  <c r="G61" i="79" s="1"/>
  <c r="F64" i="79" l="1"/>
  <c r="C62" i="79"/>
  <c r="G62" i="79" s="1"/>
  <c r="F65" i="79" l="1"/>
  <c r="C63" i="79"/>
  <c r="G63" i="79" s="1"/>
  <c r="F66" i="79" l="1"/>
  <c r="C64" i="79"/>
  <c r="G64" i="79" s="1"/>
  <c r="F67" i="79" l="1"/>
  <c r="C65" i="79"/>
  <c r="G65" i="79" s="1"/>
  <c r="F68" i="79" l="1"/>
  <c r="C66" i="79"/>
  <c r="G66" i="79" s="1"/>
  <c r="F69" i="79" l="1"/>
  <c r="C67" i="79"/>
  <c r="G67" i="79" s="1"/>
  <c r="F70" i="79" l="1"/>
  <c r="C68" i="79"/>
  <c r="G68" i="79" s="1"/>
  <c r="F71" i="79" l="1"/>
  <c r="C69" i="79"/>
  <c r="G69" i="79" s="1"/>
  <c r="F72" i="79" l="1"/>
  <c r="C70" i="79"/>
  <c r="G70" i="79" s="1"/>
  <c r="F73" i="79" l="1"/>
  <c r="C71" i="79"/>
  <c r="G71" i="79" s="1"/>
  <c r="F74" i="79" l="1"/>
  <c r="C72" i="79"/>
  <c r="G72" i="79" s="1"/>
  <c r="F75" i="79" l="1"/>
  <c r="C73" i="79"/>
  <c r="G73" i="79" s="1"/>
  <c r="F76" i="79" l="1"/>
  <c r="C74" i="79"/>
  <c r="G74" i="79" s="1"/>
  <c r="F77" i="79" l="1"/>
  <c r="C75" i="79"/>
  <c r="G75" i="79" s="1"/>
  <c r="F78" i="79" l="1"/>
  <c r="C76" i="79"/>
  <c r="G76" i="79" s="1"/>
  <c r="D9" i="71"/>
  <c r="D13" i="71" s="1"/>
  <c r="F22" i="71"/>
  <c r="D22" i="71"/>
  <c r="G21" i="71"/>
  <c r="H21" i="71" s="1"/>
  <c r="I21" i="71" s="1"/>
  <c r="J21" i="71" s="1"/>
  <c r="K21" i="71" s="1"/>
  <c r="L21" i="71" s="1"/>
  <c r="M21" i="71" s="1"/>
  <c r="N21" i="71" s="1"/>
  <c r="O21" i="71" s="1"/>
  <c r="P21" i="71" s="1"/>
  <c r="Q21" i="71" s="1"/>
  <c r="R21" i="71" s="1"/>
  <c r="S21" i="71" s="1"/>
  <c r="T21" i="71" s="1"/>
  <c r="U21" i="71" s="1"/>
  <c r="V21" i="71" s="1"/>
  <c r="W21" i="71" s="1"/>
  <c r="X21" i="71" s="1"/>
  <c r="Y21" i="71" s="1"/>
  <c r="Z21" i="71" s="1"/>
  <c r="AA21" i="71" s="1"/>
  <c r="AB21" i="71" s="1"/>
  <c r="AC21" i="71" s="1"/>
  <c r="AD21" i="71" s="1"/>
  <c r="AE21" i="71" s="1"/>
  <c r="AF21" i="71" s="1"/>
  <c r="AG21" i="71" s="1"/>
  <c r="AH21" i="71" s="1"/>
  <c r="AI21" i="71" s="1"/>
  <c r="AJ21" i="71" s="1"/>
  <c r="AK21" i="71" s="1"/>
  <c r="AL21" i="71" s="1"/>
  <c r="AM21" i="71" s="1"/>
  <c r="AN21" i="71" s="1"/>
  <c r="AO21" i="71" s="1"/>
  <c r="AP21" i="71" s="1"/>
  <c r="AQ21" i="71" s="1"/>
  <c r="AR21" i="71" s="1"/>
  <c r="AS21" i="71" s="1"/>
  <c r="AT21" i="71" s="1"/>
  <c r="AU21" i="71" s="1"/>
  <c r="G20" i="71"/>
  <c r="H20" i="71" s="1"/>
  <c r="I20" i="71" s="1"/>
  <c r="J20" i="71" s="1"/>
  <c r="K20" i="71" s="1"/>
  <c r="L20" i="71" s="1"/>
  <c r="M20" i="71" s="1"/>
  <c r="N20" i="71" s="1"/>
  <c r="O20" i="71" s="1"/>
  <c r="P20" i="71" s="1"/>
  <c r="Q20" i="71" s="1"/>
  <c r="R20" i="71" s="1"/>
  <c r="S20" i="71" s="1"/>
  <c r="T20" i="71" s="1"/>
  <c r="U20" i="71" s="1"/>
  <c r="V20" i="71" s="1"/>
  <c r="W20" i="71" s="1"/>
  <c r="X20" i="71" s="1"/>
  <c r="Y20" i="71" s="1"/>
  <c r="Z20" i="71" s="1"/>
  <c r="AA20" i="71" s="1"/>
  <c r="AB20" i="71" s="1"/>
  <c r="AC20" i="71" s="1"/>
  <c r="AD20" i="71" s="1"/>
  <c r="AE20" i="71" s="1"/>
  <c r="AF20" i="71" s="1"/>
  <c r="AG20" i="71" s="1"/>
  <c r="AH20" i="71" s="1"/>
  <c r="AI20" i="71" s="1"/>
  <c r="AJ20" i="71" s="1"/>
  <c r="AK20" i="71" s="1"/>
  <c r="AL20" i="71" s="1"/>
  <c r="AM20" i="71" s="1"/>
  <c r="AN20" i="71" s="1"/>
  <c r="AO20" i="71" s="1"/>
  <c r="AP20" i="71" s="1"/>
  <c r="AQ20" i="71" s="1"/>
  <c r="AR20" i="71" s="1"/>
  <c r="AS20" i="71" s="1"/>
  <c r="AT20" i="71" s="1"/>
  <c r="AU20" i="71" s="1"/>
  <c r="G19" i="71"/>
  <c r="H19" i="71" s="1"/>
  <c r="I19" i="71" s="1"/>
  <c r="D17" i="71"/>
  <c r="D30" i="45"/>
  <c r="N19" i="68"/>
  <c r="M19" i="68"/>
  <c r="J19" i="68"/>
  <c r="F18" i="68"/>
  <c r="J18" i="68" s="1"/>
  <c r="J17" i="68"/>
  <c r="J16" i="68"/>
  <c r="F15" i="68"/>
  <c r="J15" i="68" s="1"/>
  <c r="J14" i="68"/>
  <c r="F14" i="68"/>
  <c r="F13" i="68"/>
  <c r="J13" i="68" s="1"/>
  <c r="F12" i="68"/>
  <c r="J12" i="68" s="1"/>
  <c r="J11" i="68"/>
  <c r="F26" i="63"/>
  <c r="F26" i="62"/>
  <c r="F26" i="61"/>
  <c r="F26" i="60"/>
  <c r="D30" i="71" l="1"/>
  <c r="D31" i="71" s="1"/>
  <c r="E16" i="71"/>
  <c r="E17" i="71" s="1"/>
  <c r="O17" i="72"/>
  <c r="F79" i="79"/>
  <c r="G17" i="72"/>
  <c r="C77" i="79"/>
  <c r="G77" i="79" s="1"/>
  <c r="AI17" i="72"/>
  <c r="AS17" i="72"/>
  <c r="Y17" i="72"/>
  <c r="G16" i="71"/>
  <c r="G17" i="71" s="1"/>
  <c r="F6" i="72"/>
  <c r="AJ6" i="72"/>
  <c r="AI6" i="72"/>
  <c r="T6" i="72"/>
  <c r="S6" i="72"/>
  <c r="AH6" i="72"/>
  <c r="R6" i="72"/>
  <c r="AG6" i="72"/>
  <c r="Q6" i="72"/>
  <c r="AF6" i="72"/>
  <c r="P6" i="72"/>
  <c r="AE6" i="72"/>
  <c r="O6" i="72"/>
  <c r="AT6" i="72"/>
  <c r="AD6" i="72"/>
  <c r="N6" i="72"/>
  <c r="AS6" i="72"/>
  <c r="AC6" i="72"/>
  <c r="M6" i="72"/>
  <c r="AR6" i="72"/>
  <c r="AB6" i="72"/>
  <c r="L6" i="72"/>
  <c r="AQ6" i="72"/>
  <c r="AA6" i="72"/>
  <c r="K6" i="72"/>
  <c r="AP6" i="72"/>
  <c r="Z6" i="72"/>
  <c r="J6" i="72"/>
  <c r="AO6" i="72"/>
  <c r="Y6" i="72"/>
  <c r="I6" i="72"/>
  <c r="AN6" i="72"/>
  <c r="X6" i="72"/>
  <c r="H6" i="72"/>
  <c r="AM6" i="72"/>
  <c r="W6" i="72"/>
  <c r="G6" i="72"/>
  <c r="AL6" i="72"/>
  <c r="V6" i="72"/>
  <c r="AK6" i="72"/>
  <c r="U6" i="72"/>
  <c r="E6" i="72"/>
  <c r="G22" i="71"/>
  <c r="E22" i="71"/>
  <c r="F17" i="71"/>
  <c r="H22" i="71"/>
  <c r="I22" i="71"/>
  <c r="J19" i="71"/>
  <c r="I8" i="68"/>
  <c r="J8" i="68" s="1"/>
  <c r="J20" i="68"/>
  <c r="I7" i="68"/>
  <c r="J7" i="68" s="1"/>
  <c r="E25" i="42"/>
  <c r="F15" i="65"/>
  <c r="F13" i="65"/>
  <c r="D6" i="72" l="1"/>
  <c r="F80" i="79"/>
  <c r="F17" i="72"/>
  <c r="U17" i="72"/>
  <c r="N17" i="72"/>
  <c r="AK17" i="72"/>
  <c r="AE17" i="72"/>
  <c r="AG17" i="72"/>
  <c r="K17" i="72"/>
  <c r="AA17" i="72"/>
  <c r="P17" i="72"/>
  <c r="AD17" i="72"/>
  <c r="AQ17" i="72"/>
  <c r="AF17" i="72"/>
  <c r="AT17" i="72"/>
  <c r="L17" i="72"/>
  <c r="Q17" i="72"/>
  <c r="Z17" i="72"/>
  <c r="W17" i="72"/>
  <c r="AB17" i="72"/>
  <c r="R17" i="72"/>
  <c r="AH17" i="72"/>
  <c r="AJ17" i="72"/>
  <c r="AR17" i="72"/>
  <c r="H17" i="72"/>
  <c r="S17" i="72"/>
  <c r="X17" i="72"/>
  <c r="M17" i="72"/>
  <c r="AN17" i="72"/>
  <c r="AC17" i="72"/>
  <c r="V17" i="72"/>
  <c r="J17" i="72"/>
  <c r="AM17" i="72"/>
  <c r="I17" i="72"/>
  <c r="AL17" i="72"/>
  <c r="AP17" i="72"/>
  <c r="AO17" i="72"/>
  <c r="T17" i="72"/>
  <c r="C78" i="79"/>
  <c r="G78" i="79" s="1"/>
  <c r="H16" i="71"/>
  <c r="H17" i="71" s="1"/>
  <c r="K19" i="71"/>
  <c r="J22" i="71"/>
  <c r="J9" i="68"/>
  <c r="J21" i="68" s="1"/>
  <c r="L42" i="65"/>
  <c r="I35" i="65"/>
  <c r="J35" i="65" s="1"/>
  <c r="J34" i="65"/>
  <c r="I33" i="65"/>
  <c r="F33" i="65"/>
  <c r="J33" i="65" s="1"/>
  <c r="N32" i="65"/>
  <c r="J32" i="65"/>
  <c r="J31" i="65"/>
  <c r="I31" i="65"/>
  <c r="I30" i="65"/>
  <c r="J30" i="65" s="1"/>
  <c r="I29" i="65"/>
  <c r="J29" i="65" s="1"/>
  <c r="J28" i="65"/>
  <c r="A28" i="65"/>
  <c r="A29" i="65" s="1"/>
  <c r="A30" i="65" s="1"/>
  <c r="A31" i="65" s="1"/>
  <c r="A32" i="65" s="1"/>
  <c r="A33" i="65" s="1"/>
  <c r="A34" i="65" s="1"/>
  <c r="A35" i="65" s="1"/>
  <c r="J27" i="65"/>
  <c r="A27" i="65"/>
  <c r="J24" i="65"/>
  <c r="J23" i="65"/>
  <c r="N22" i="65"/>
  <c r="F22" i="65"/>
  <c r="J22" i="65" s="1"/>
  <c r="J21" i="65"/>
  <c r="J20" i="65"/>
  <c r="F17" i="65"/>
  <c r="F18" i="65" s="1"/>
  <c r="J16" i="65"/>
  <c r="F16" i="65"/>
  <c r="J15" i="65"/>
  <c r="J14" i="65"/>
  <c r="J13" i="65"/>
  <c r="J12" i="65"/>
  <c r="J11" i="65"/>
  <c r="F81" i="79" l="1"/>
  <c r="C79" i="79"/>
  <c r="G79" i="79" s="1"/>
  <c r="I16" i="71"/>
  <c r="I17" i="71" s="1"/>
  <c r="K22" i="71"/>
  <c r="L19" i="71"/>
  <c r="J23" i="68"/>
  <c r="J22" i="68"/>
  <c r="J36" i="65"/>
  <c r="F19" i="65"/>
  <c r="J19" i="65" s="1"/>
  <c r="J18" i="65"/>
  <c r="J17" i="65"/>
  <c r="J25" i="65" s="1"/>
  <c r="J16" i="71" l="1"/>
  <c r="K16" i="71" s="1"/>
  <c r="K17" i="71" s="1"/>
  <c r="F82" i="79"/>
  <c r="C80" i="79"/>
  <c r="G80" i="79" s="1"/>
  <c r="M19" i="71"/>
  <c r="L22" i="71"/>
  <c r="J25" i="68"/>
  <c r="L25" i="68" s="1"/>
  <c r="J24" i="68"/>
  <c r="L24" i="65"/>
  <c r="N29" i="65"/>
  <c r="N30" i="65" s="1"/>
  <c r="N31" i="65" s="1"/>
  <c r="K25" i="65"/>
  <c r="L16" i="71" l="1"/>
  <c r="M16" i="71" s="1"/>
  <c r="J17" i="71"/>
  <c r="F83" i="79"/>
  <c r="C81" i="79"/>
  <c r="G81" i="79" s="1"/>
  <c r="N19" i="71"/>
  <c r="M22" i="71"/>
  <c r="I8" i="65"/>
  <c r="J8" i="65" s="1"/>
  <c r="I7" i="65"/>
  <c r="J7" i="65" s="1"/>
  <c r="L17" i="71" l="1"/>
  <c r="F84" i="79"/>
  <c r="C82" i="79"/>
  <c r="G82" i="79" s="1"/>
  <c r="O19" i="71"/>
  <c r="N22" i="71"/>
  <c r="M17" i="71"/>
  <c r="N16" i="71"/>
  <c r="J9" i="65"/>
  <c r="J37" i="65" s="1"/>
  <c r="J38" i="65" s="1"/>
  <c r="J39" i="65" s="1"/>
  <c r="F85" i="79" l="1"/>
  <c r="C83" i="79"/>
  <c r="G83" i="79" s="1"/>
  <c r="N17" i="71"/>
  <c r="O16" i="71"/>
  <c r="O22" i="71"/>
  <c r="P19" i="71"/>
  <c r="J40" i="65"/>
  <c r="J41" i="65" s="1"/>
  <c r="F86" i="79" l="1"/>
  <c r="C84" i="79"/>
  <c r="G84" i="79" s="1"/>
  <c r="P16" i="71"/>
  <c r="O17" i="71"/>
  <c r="Q19" i="71"/>
  <c r="P22" i="71"/>
  <c r="F17" i="63"/>
  <c r="F18" i="63" s="1"/>
  <c r="F19" i="63" s="1"/>
  <c r="F13" i="63"/>
  <c r="F17" i="62"/>
  <c r="F18" i="62" s="1"/>
  <c r="F19" i="62" s="1"/>
  <c r="F13" i="62"/>
  <c r="F17" i="61"/>
  <c r="F18" i="61" s="1"/>
  <c r="F19" i="61" s="1"/>
  <c r="F13" i="61"/>
  <c r="F17" i="60"/>
  <c r="F18" i="60" s="1"/>
  <c r="F19" i="60" s="1"/>
  <c r="F14" i="60"/>
  <c r="F13" i="60"/>
  <c r="F15" i="60" s="1"/>
  <c r="F87" i="79" l="1"/>
  <c r="C85" i="79"/>
  <c r="G85" i="79" s="1"/>
  <c r="Q22" i="71"/>
  <c r="R19" i="71"/>
  <c r="Q16" i="71"/>
  <c r="P17" i="71"/>
  <c r="L35" i="63"/>
  <c r="J28" i="63"/>
  <c r="J27" i="63"/>
  <c r="N26" i="63"/>
  <c r="J26" i="63"/>
  <c r="J25" i="63"/>
  <c r="J24" i="63"/>
  <c r="J23" i="63"/>
  <c r="J22" i="63"/>
  <c r="J21" i="63"/>
  <c r="N20" i="63"/>
  <c r="M20" i="63"/>
  <c r="J20" i="63"/>
  <c r="J16" i="63"/>
  <c r="J15" i="63"/>
  <c r="J14" i="63"/>
  <c r="J13" i="63"/>
  <c r="J12" i="63"/>
  <c r="J11" i="63"/>
  <c r="L35" i="62"/>
  <c r="J28" i="62"/>
  <c r="J27" i="62"/>
  <c r="N26" i="62"/>
  <c r="J26" i="62"/>
  <c r="J25" i="62"/>
  <c r="J24" i="62"/>
  <c r="J23" i="62"/>
  <c r="J22" i="62"/>
  <c r="J21" i="62"/>
  <c r="N20" i="62"/>
  <c r="M20" i="62"/>
  <c r="J20" i="62"/>
  <c r="J16" i="62"/>
  <c r="J15" i="62"/>
  <c r="J14" i="62"/>
  <c r="J13" i="62"/>
  <c r="J12" i="62"/>
  <c r="J11" i="62"/>
  <c r="L35" i="61"/>
  <c r="J28" i="61"/>
  <c r="J27" i="61"/>
  <c r="N26" i="61"/>
  <c r="J26" i="61"/>
  <c r="J25" i="61"/>
  <c r="J24" i="61"/>
  <c r="J23" i="61"/>
  <c r="J22" i="61"/>
  <c r="J21" i="61"/>
  <c r="N20" i="61"/>
  <c r="M20" i="61"/>
  <c r="J20" i="61"/>
  <c r="J16" i="61"/>
  <c r="J15" i="61"/>
  <c r="J14" i="61"/>
  <c r="J13" i="61"/>
  <c r="J12" i="61"/>
  <c r="J11" i="61"/>
  <c r="L35" i="60"/>
  <c r="J28" i="60"/>
  <c r="J27" i="60"/>
  <c r="N26" i="60"/>
  <c r="J26" i="60"/>
  <c r="J25" i="60"/>
  <c r="J24" i="60"/>
  <c r="J23" i="60"/>
  <c r="J22" i="60"/>
  <c r="J21" i="60"/>
  <c r="N20" i="60"/>
  <c r="M20" i="60"/>
  <c r="J20" i="60"/>
  <c r="J17" i="60"/>
  <c r="J16" i="60"/>
  <c r="J15" i="60"/>
  <c r="J13" i="60"/>
  <c r="J12" i="60"/>
  <c r="J11" i="60"/>
  <c r="F88" i="79" l="1"/>
  <c r="C86" i="79"/>
  <c r="G86" i="79" s="1"/>
  <c r="R16" i="71"/>
  <c r="Q17" i="71"/>
  <c r="R22" i="71"/>
  <c r="S19" i="71"/>
  <c r="J18" i="63"/>
  <c r="J19" i="63"/>
  <c r="J17" i="63"/>
  <c r="L28" i="63" s="1"/>
  <c r="J19" i="62"/>
  <c r="J18" i="62"/>
  <c r="J17" i="62"/>
  <c r="J29" i="62" s="1"/>
  <c r="J18" i="61"/>
  <c r="J19" i="61"/>
  <c r="J17" i="61"/>
  <c r="J29" i="61" s="1"/>
  <c r="J14" i="60"/>
  <c r="F89" i="79" l="1"/>
  <c r="C87" i="79"/>
  <c r="G87" i="79" s="1"/>
  <c r="S22" i="71"/>
  <c r="T19" i="71"/>
  <c r="S16" i="71"/>
  <c r="R17" i="71"/>
  <c r="L28" i="62"/>
  <c r="I8" i="62" s="1"/>
  <c r="J8" i="62" s="1"/>
  <c r="I8" i="63"/>
  <c r="J8" i="63" s="1"/>
  <c r="I7" i="63"/>
  <c r="J7" i="63" s="1"/>
  <c r="J9" i="63" s="1"/>
  <c r="J30" i="63" s="1"/>
  <c r="J29" i="63"/>
  <c r="L28" i="61"/>
  <c r="J18" i="60"/>
  <c r="J19" i="60"/>
  <c r="F90" i="79" l="1"/>
  <c r="C88" i="79"/>
  <c r="G88" i="79" s="1"/>
  <c r="U19" i="71"/>
  <c r="T22" i="71"/>
  <c r="T16" i="71"/>
  <c r="S17" i="71"/>
  <c r="I7" i="62"/>
  <c r="J7" i="62" s="1"/>
  <c r="J9" i="62" s="1"/>
  <c r="J30" i="62" s="1"/>
  <c r="J31" i="63"/>
  <c r="J32" i="63" s="1"/>
  <c r="J33" i="63" s="1"/>
  <c r="I8" i="61"/>
  <c r="J8" i="61" s="1"/>
  <c r="I7" i="61"/>
  <c r="J7" i="61" s="1"/>
  <c r="L28" i="60"/>
  <c r="J29" i="60"/>
  <c r="F91" i="79" l="1"/>
  <c r="C89" i="79"/>
  <c r="G89" i="79" s="1"/>
  <c r="U22" i="71"/>
  <c r="V19" i="71"/>
  <c r="T17" i="71"/>
  <c r="U16" i="71"/>
  <c r="J31" i="62"/>
  <c r="J32" i="62" s="1"/>
  <c r="J34" i="63"/>
  <c r="D7" i="45" s="1"/>
  <c r="J9" i="61"/>
  <c r="J30" i="61" s="1"/>
  <c r="I8" i="60"/>
  <c r="J8" i="60" s="1"/>
  <c r="I7" i="60"/>
  <c r="J7" i="60" s="1"/>
  <c r="J9" i="60" s="1"/>
  <c r="J30" i="60" s="1"/>
  <c r="F92" i="79" l="1"/>
  <c r="C90" i="79"/>
  <c r="G90" i="79" s="1"/>
  <c r="U17" i="71"/>
  <c r="V16" i="71"/>
  <c r="W19" i="71"/>
  <c r="V22" i="71"/>
  <c r="J33" i="62"/>
  <c r="J34" i="62" s="1"/>
  <c r="D6" i="45" s="1"/>
  <c r="J31" i="61"/>
  <c r="J32" i="61" s="1"/>
  <c r="J31" i="60"/>
  <c r="J32" i="60" s="1"/>
  <c r="F93" i="79" l="1"/>
  <c r="C91" i="79"/>
  <c r="G91" i="79" s="1"/>
  <c r="X19" i="71"/>
  <c r="W22" i="71"/>
  <c r="W16" i="71"/>
  <c r="V17" i="71"/>
  <c r="J33" i="61"/>
  <c r="J34" i="61" s="1"/>
  <c r="D4" i="45" s="1"/>
  <c r="J33" i="60"/>
  <c r="J34" i="60" s="1"/>
  <c r="F94" i="79" l="1"/>
  <c r="C92" i="79"/>
  <c r="G92" i="79" s="1"/>
  <c r="W17" i="71"/>
  <c r="X16" i="71"/>
  <c r="X22" i="71"/>
  <c r="Y19" i="71"/>
  <c r="D9" i="45"/>
  <c r="E9" i="46"/>
  <c r="C9" i="46" s="1"/>
  <c r="E10" i="46" l="1"/>
  <c r="C10" i="46" s="1"/>
  <c r="F95" i="79"/>
  <c r="C93" i="79"/>
  <c r="G93" i="79" s="1"/>
  <c r="Y22" i="71"/>
  <c r="Z19" i="71"/>
  <c r="Y16" i="71"/>
  <c r="X17" i="71"/>
  <c r="C15" i="59"/>
  <c r="C14" i="59"/>
  <c r="F96" i="79" l="1"/>
  <c r="C94" i="79"/>
  <c r="G94" i="79" s="1"/>
  <c r="AA19" i="71"/>
  <c r="Z22" i="71"/>
  <c r="Z16" i="71"/>
  <c r="Y17" i="71"/>
  <c r="C4" i="59"/>
  <c r="F4" i="59" s="1"/>
  <c r="F5" i="59"/>
  <c r="C6" i="59"/>
  <c r="F6" i="59"/>
  <c r="F7" i="59"/>
  <c r="F8" i="59"/>
  <c r="F9" i="59"/>
  <c r="F10" i="59"/>
  <c r="F14" i="59"/>
  <c r="F15" i="59"/>
  <c r="F16" i="59"/>
  <c r="F17" i="59"/>
  <c r="F18" i="59"/>
  <c r="F22" i="59"/>
  <c r="C23" i="59"/>
  <c r="F23" i="59"/>
  <c r="C24" i="59"/>
  <c r="F24" i="59" s="1"/>
  <c r="F25" i="59"/>
  <c r="C29" i="59"/>
  <c r="F29" i="59"/>
  <c r="C30" i="59"/>
  <c r="F30" i="59"/>
  <c r="C31" i="59"/>
  <c r="F31" i="59" s="1"/>
  <c r="F97" i="79" l="1"/>
  <c r="C95" i="79"/>
  <c r="G95" i="79" s="1"/>
  <c r="AA16" i="71"/>
  <c r="Z17" i="71"/>
  <c r="AA22" i="71"/>
  <c r="AB19" i="71"/>
  <c r="F11" i="59"/>
  <c r="F19" i="59"/>
  <c r="F26" i="59"/>
  <c r="F32" i="59"/>
  <c r="F98" i="79" l="1"/>
  <c r="C96" i="79"/>
  <c r="G96" i="79" s="1"/>
  <c r="AC19" i="71"/>
  <c r="AB22" i="71"/>
  <c r="AA17" i="71"/>
  <c r="AB16" i="71"/>
  <c r="F27" i="59"/>
  <c r="F33" i="59" s="1"/>
  <c r="F99" i="79" l="1"/>
  <c r="C97" i="79"/>
  <c r="G97" i="79" s="1"/>
  <c r="AC16" i="71"/>
  <c r="AB17" i="71"/>
  <c r="AD19" i="71"/>
  <c r="AC22" i="71"/>
  <c r="F10" i="45"/>
  <c r="G10" i="45"/>
  <c r="I10" i="45"/>
  <c r="J10" i="45"/>
  <c r="F9" i="45"/>
  <c r="J9" i="45"/>
  <c r="B12" i="45"/>
  <c r="B13" i="45"/>
  <c r="B14" i="45"/>
  <c r="B15" i="45"/>
  <c r="B16" i="45"/>
  <c r="B17" i="45"/>
  <c r="B18" i="45"/>
  <c r="B19" i="45"/>
  <c r="B20" i="45"/>
  <c r="B21" i="45"/>
  <c r="B22" i="45"/>
  <c r="B23" i="45"/>
  <c r="B24" i="45"/>
  <c r="B25" i="45"/>
  <c r="B26" i="45"/>
  <c r="B27" i="45"/>
  <c r="B28" i="45"/>
  <c r="B4" i="45"/>
  <c r="B5" i="45" s="1"/>
  <c r="B6" i="45" s="1"/>
  <c r="B7" i="45" s="1"/>
  <c r="B8" i="45" s="1"/>
  <c r="B9" i="45" s="1"/>
  <c r="B10" i="45" s="1"/>
  <c r="B11" i="45" s="1"/>
  <c r="K10" i="45" l="1"/>
  <c r="F100" i="79"/>
  <c r="C98" i="79"/>
  <c r="G98" i="79" s="1"/>
  <c r="AD16" i="71"/>
  <c r="AC17" i="71"/>
  <c r="AE19" i="71"/>
  <c r="AD22" i="71"/>
  <c r="H10" i="45"/>
  <c r="I9" i="45"/>
  <c r="K9" i="45" s="1"/>
  <c r="G9" i="45"/>
  <c r="H9" i="45" s="1"/>
  <c r="F101" i="79" l="1"/>
  <c r="C99" i="79"/>
  <c r="G99" i="79" s="1"/>
  <c r="AE22" i="71"/>
  <c r="AF19" i="71"/>
  <c r="AD17" i="71"/>
  <c r="AE16" i="71"/>
  <c r="J8" i="45"/>
  <c r="I8" i="45"/>
  <c r="F102" i="79" l="1"/>
  <c r="C100" i="79"/>
  <c r="G100" i="79" s="1"/>
  <c r="AF16" i="71"/>
  <c r="AE17" i="71"/>
  <c r="AG19" i="71"/>
  <c r="AF22" i="71"/>
  <c r="G8" i="45"/>
  <c r="F8" i="45"/>
  <c r="K8" i="45"/>
  <c r="P21" i="42"/>
  <c r="Q21" i="42" s="1"/>
  <c r="R21" i="42" s="1"/>
  <c r="S21" i="42" s="1"/>
  <c r="T21" i="42" s="1"/>
  <c r="U21" i="42" s="1"/>
  <c r="V21" i="42" s="1"/>
  <c r="W21" i="42" s="1"/>
  <c r="X21" i="42" s="1"/>
  <c r="Y21" i="42" s="1"/>
  <c r="Z21" i="42" s="1"/>
  <c r="AA21" i="42" s="1"/>
  <c r="AB21" i="42" s="1"/>
  <c r="AC21" i="42" s="1"/>
  <c r="AD21" i="42" s="1"/>
  <c r="AE21" i="42" s="1"/>
  <c r="AF21" i="42" s="1"/>
  <c r="AG21" i="42" s="1"/>
  <c r="AH21" i="42" s="1"/>
  <c r="AI21" i="42" s="1"/>
  <c r="AJ21" i="42" s="1"/>
  <c r="AK21" i="42" s="1"/>
  <c r="AL21" i="42" s="1"/>
  <c r="AM21" i="42" s="1"/>
  <c r="AN21" i="42" s="1"/>
  <c r="AO21" i="42" s="1"/>
  <c r="AP21" i="42" s="1"/>
  <c r="AQ21" i="42" s="1"/>
  <c r="AR21" i="42" s="1"/>
  <c r="AS21" i="42" s="1"/>
  <c r="AT21" i="42" s="1"/>
  <c r="AU21" i="42" s="1"/>
  <c r="G5" i="45"/>
  <c r="I5" i="45"/>
  <c r="J5" i="45"/>
  <c r="F5" i="45"/>
  <c r="G14" i="42"/>
  <c r="H14" i="42" s="1"/>
  <c r="I14" i="42" s="1"/>
  <c r="J14" i="42" s="1"/>
  <c r="K14" i="42" s="1"/>
  <c r="L14" i="42" s="1"/>
  <c r="M14" i="42" s="1"/>
  <c r="N14" i="42" s="1"/>
  <c r="O14" i="42" s="1"/>
  <c r="P14" i="42" s="1"/>
  <c r="Q14" i="42" s="1"/>
  <c r="R14" i="42" s="1"/>
  <c r="S14" i="42" s="1"/>
  <c r="T14" i="42" s="1"/>
  <c r="U14" i="42" s="1"/>
  <c r="V14" i="42" s="1"/>
  <c r="W14" i="42" s="1"/>
  <c r="X14" i="42" s="1"/>
  <c r="Y14" i="42" s="1"/>
  <c r="Z14" i="42" s="1"/>
  <c r="AA14" i="42" s="1"/>
  <c r="AB14" i="42" s="1"/>
  <c r="AC14" i="42" s="1"/>
  <c r="AD14" i="42" s="1"/>
  <c r="AE14" i="42" s="1"/>
  <c r="AF14" i="42" s="1"/>
  <c r="AG14" i="42" s="1"/>
  <c r="AH14" i="42" s="1"/>
  <c r="AI14" i="42" s="1"/>
  <c r="AJ14" i="42" s="1"/>
  <c r="AK14" i="42" s="1"/>
  <c r="AL14" i="42" s="1"/>
  <c r="AM14" i="42" s="1"/>
  <c r="AN14" i="42" s="1"/>
  <c r="AO14" i="42" s="1"/>
  <c r="AP14" i="42" s="1"/>
  <c r="AQ14" i="42" s="1"/>
  <c r="AR14" i="42" s="1"/>
  <c r="AS14" i="42" s="1"/>
  <c r="AT14" i="42" s="1"/>
  <c r="AU14" i="42" s="1"/>
  <c r="G15" i="42"/>
  <c r="H15" i="42" s="1"/>
  <c r="I15" i="42" s="1"/>
  <c r="J15" i="42" s="1"/>
  <c r="K15" i="42" s="1"/>
  <c r="L15" i="42" s="1"/>
  <c r="M15" i="42" s="1"/>
  <c r="N15" i="42" s="1"/>
  <c r="O15" i="42" s="1"/>
  <c r="P15" i="42" s="1"/>
  <c r="Q15" i="42" s="1"/>
  <c r="R15" i="42" s="1"/>
  <c r="S15" i="42" s="1"/>
  <c r="T15" i="42" s="1"/>
  <c r="U15" i="42" s="1"/>
  <c r="V15" i="42" s="1"/>
  <c r="W15" i="42" s="1"/>
  <c r="X15" i="42" s="1"/>
  <c r="Y15" i="42" s="1"/>
  <c r="Z15" i="42" s="1"/>
  <c r="AA15" i="42" s="1"/>
  <c r="AB15" i="42" s="1"/>
  <c r="AC15" i="42" s="1"/>
  <c r="AD15" i="42" s="1"/>
  <c r="AE15" i="42" s="1"/>
  <c r="AF15" i="42" s="1"/>
  <c r="AG15" i="42" s="1"/>
  <c r="AH15" i="42" s="1"/>
  <c r="AI15" i="42" s="1"/>
  <c r="AJ15" i="42" s="1"/>
  <c r="AK15" i="42" s="1"/>
  <c r="AL15" i="42" s="1"/>
  <c r="AM15" i="42" s="1"/>
  <c r="AN15" i="42" s="1"/>
  <c r="AO15" i="42" s="1"/>
  <c r="AP15" i="42" s="1"/>
  <c r="AQ15" i="42" s="1"/>
  <c r="AR15" i="42" s="1"/>
  <c r="AS15" i="42" s="1"/>
  <c r="AT15" i="42" s="1"/>
  <c r="AU15" i="42" s="1"/>
  <c r="G16" i="42"/>
  <c r="H16" i="42" s="1"/>
  <c r="I16" i="42" s="1"/>
  <c r="J16" i="42" s="1"/>
  <c r="K16" i="42" s="1"/>
  <c r="L16" i="42" s="1"/>
  <c r="M16" i="42" s="1"/>
  <c r="N16" i="42" s="1"/>
  <c r="O16" i="42" s="1"/>
  <c r="P16" i="42" s="1"/>
  <c r="Q16" i="42" s="1"/>
  <c r="R16" i="42" s="1"/>
  <c r="S16" i="42" s="1"/>
  <c r="T16" i="42" s="1"/>
  <c r="U16" i="42" s="1"/>
  <c r="V16" i="42" s="1"/>
  <c r="W16" i="42" s="1"/>
  <c r="X16" i="42" s="1"/>
  <c r="Y16" i="42" s="1"/>
  <c r="Z16" i="42" s="1"/>
  <c r="AA16" i="42" s="1"/>
  <c r="AB16" i="42" s="1"/>
  <c r="AC16" i="42" s="1"/>
  <c r="AD16" i="42" s="1"/>
  <c r="AE16" i="42" s="1"/>
  <c r="AF16" i="42" s="1"/>
  <c r="AG16" i="42" s="1"/>
  <c r="AH16" i="42" s="1"/>
  <c r="AI16" i="42" s="1"/>
  <c r="AJ16" i="42" s="1"/>
  <c r="AK16" i="42" s="1"/>
  <c r="AL16" i="42" s="1"/>
  <c r="AM16" i="42" s="1"/>
  <c r="AN16" i="42" s="1"/>
  <c r="AO16" i="42" s="1"/>
  <c r="AP16" i="42" s="1"/>
  <c r="AQ16" i="42" s="1"/>
  <c r="AR16" i="42" s="1"/>
  <c r="AS16" i="42" s="1"/>
  <c r="AT16" i="42" s="1"/>
  <c r="AU16" i="42" s="1"/>
  <c r="G17" i="42"/>
  <c r="H17" i="42" s="1"/>
  <c r="I17" i="42" s="1"/>
  <c r="J17" i="42" s="1"/>
  <c r="K17" i="42" s="1"/>
  <c r="L17" i="42" s="1"/>
  <c r="M17" i="42" s="1"/>
  <c r="N17" i="42" s="1"/>
  <c r="O17" i="42" s="1"/>
  <c r="P17" i="42" s="1"/>
  <c r="Q17" i="42" s="1"/>
  <c r="R17" i="42" s="1"/>
  <c r="S17" i="42" s="1"/>
  <c r="T17" i="42" s="1"/>
  <c r="U17" i="42" s="1"/>
  <c r="V17" i="42" s="1"/>
  <c r="W17" i="42" s="1"/>
  <c r="X17" i="42" s="1"/>
  <c r="Y17" i="42" s="1"/>
  <c r="Z17" i="42" s="1"/>
  <c r="AA17" i="42" s="1"/>
  <c r="AB17" i="42" s="1"/>
  <c r="AC17" i="42" s="1"/>
  <c r="AD17" i="42" s="1"/>
  <c r="AE17" i="42" s="1"/>
  <c r="AF17" i="42" s="1"/>
  <c r="AG17" i="42" s="1"/>
  <c r="AH17" i="42" s="1"/>
  <c r="AI17" i="42" s="1"/>
  <c r="AJ17" i="42" s="1"/>
  <c r="AK17" i="42" s="1"/>
  <c r="AL17" i="42" s="1"/>
  <c r="AM17" i="42" s="1"/>
  <c r="AN17" i="42" s="1"/>
  <c r="AO17" i="42" s="1"/>
  <c r="AP17" i="42" s="1"/>
  <c r="AQ17" i="42" s="1"/>
  <c r="AR17" i="42" s="1"/>
  <c r="AS17" i="42" s="1"/>
  <c r="AT17" i="42" s="1"/>
  <c r="AU17" i="42" s="1"/>
  <c r="G19" i="42"/>
  <c r="H19" i="42" s="1"/>
  <c r="I19" i="42" s="1"/>
  <c r="J19" i="42" s="1"/>
  <c r="K19" i="42" s="1"/>
  <c r="L19" i="42" s="1"/>
  <c r="M19" i="42" s="1"/>
  <c r="N19" i="42" s="1"/>
  <c r="O19" i="42" s="1"/>
  <c r="P19" i="42" s="1"/>
  <c r="Q19" i="42" s="1"/>
  <c r="R19" i="42" s="1"/>
  <c r="S19" i="42" s="1"/>
  <c r="T19" i="42" s="1"/>
  <c r="U19" i="42" s="1"/>
  <c r="V19" i="42" s="1"/>
  <c r="W19" i="42" s="1"/>
  <c r="X19" i="42" s="1"/>
  <c r="Y19" i="42" s="1"/>
  <c r="Z19" i="42" s="1"/>
  <c r="AA19" i="42" s="1"/>
  <c r="AB19" i="42" s="1"/>
  <c r="AC19" i="42" s="1"/>
  <c r="AD19" i="42" s="1"/>
  <c r="AE19" i="42" s="1"/>
  <c r="AF19" i="42" s="1"/>
  <c r="AG19" i="42" s="1"/>
  <c r="AH19" i="42" s="1"/>
  <c r="AI19" i="42" s="1"/>
  <c r="AJ19" i="42" s="1"/>
  <c r="AK19" i="42" s="1"/>
  <c r="AL19" i="42" s="1"/>
  <c r="AM19" i="42" s="1"/>
  <c r="AN19" i="42" s="1"/>
  <c r="AO19" i="42" s="1"/>
  <c r="AP19" i="42" s="1"/>
  <c r="AQ19" i="42" s="1"/>
  <c r="AR19" i="42" s="1"/>
  <c r="AS19" i="42" s="1"/>
  <c r="AT19" i="42" s="1"/>
  <c r="AU19" i="42" s="1"/>
  <c r="G20" i="42"/>
  <c r="H20" i="42" s="1"/>
  <c r="I20" i="42" s="1"/>
  <c r="J20" i="42" s="1"/>
  <c r="K20" i="42" s="1"/>
  <c r="L20" i="42" s="1"/>
  <c r="M20" i="42" s="1"/>
  <c r="N20" i="42" s="1"/>
  <c r="O20" i="42" s="1"/>
  <c r="P20" i="42" s="1"/>
  <c r="Q20" i="42" s="1"/>
  <c r="R20" i="42" s="1"/>
  <c r="S20" i="42" s="1"/>
  <c r="T20" i="42" s="1"/>
  <c r="U20" i="42" s="1"/>
  <c r="V20" i="42" s="1"/>
  <c r="W20" i="42" s="1"/>
  <c r="X20" i="42" s="1"/>
  <c r="Y20" i="42" s="1"/>
  <c r="Z20" i="42" s="1"/>
  <c r="AA20" i="42" s="1"/>
  <c r="AB20" i="42" s="1"/>
  <c r="AC20" i="42" s="1"/>
  <c r="AD20" i="42" s="1"/>
  <c r="AE20" i="42" s="1"/>
  <c r="AF20" i="42" s="1"/>
  <c r="AG20" i="42" s="1"/>
  <c r="AH20" i="42" s="1"/>
  <c r="AI20" i="42" s="1"/>
  <c r="AJ20" i="42" s="1"/>
  <c r="AK20" i="42" s="1"/>
  <c r="AL20" i="42" s="1"/>
  <c r="AM20" i="42" s="1"/>
  <c r="AN20" i="42" s="1"/>
  <c r="AO20" i="42" s="1"/>
  <c r="AP20" i="42" s="1"/>
  <c r="AQ20" i="42" s="1"/>
  <c r="AR20" i="42" s="1"/>
  <c r="AS20" i="42" s="1"/>
  <c r="AT20" i="42" s="1"/>
  <c r="AU20" i="42" s="1"/>
  <c r="G22" i="42"/>
  <c r="H22" i="42" s="1"/>
  <c r="I22" i="42" s="1"/>
  <c r="J22" i="42" s="1"/>
  <c r="K22" i="42" s="1"/>
  <c r="L22" i="42" s="1"/>
  <c r="M22" i="42" s="1"/>
  <c r="G13" i="42"/>
  <c r="H13" i="42" s="1"/>
  <c r="I13" i="42" s="1"/>
  <c r="J13" i="42" s="1"/>
  <c r="K13" i="42" s="1"/>
  <c r="L13" i="42" s="1"/>
  <c r="M13" i="42" s="1"/>
  <c r="N13" i="42" s="1"/>
  <c r="O13" i="42" s="1"/>
  <c r="P13" i="42" s="1"/>
  <c r="Q13" i="42" s="1"/>
  <c r="R13" i="42" s="1"/>
  <c r="S13" i="42" s="1"/>
  <c r="T13" i="42" s="1"/>
  <c r="U13" i="42" s="1"/>
  <c r="V13" i="42" s="1"/>
  <c r="W13" i="42" s="1"/>
  <c r="X13" i="42" s="1"/>
  <c r="Y13" i="42" s="1"/>
  <c r="Z13" i="42" s="1"/>
  <c r="AA13" i="42" s="1"/>
  <c r="AB13" i="42" s="1"/>
  <c r="AC13" i="42" s="1"/>
  <c r="AD13" i="42" s="1"/>
  <c r="AE13" i="42" s="1"/>
  <c r="AF13" i="42" s="1"/>
  <c r="AG13" i="42" s="1"/>
  <c r="AH13" i="42" s="1"/>
  <c r="AI13" i="42" s="1"/>
  <c r="AJ13" i="42" s="1"/>
  <c r="F103" i="79" l="1"/>
  <c r="C101" i="79"/>
  <c r="G101" i="79" s="1"/>
  <c r="AG22" i="71"/>
  <c r="AH19" i="71"/>
  <c r="AG16" i="71"/>
  <c r="AF17" i="71"/>
  <c r="H8" i="45"/>
  <c r="K5" i="45"/>
  <c r="AK13" i="42"/>
  <c r="AL13" i="42" s="1"/>
  <c r="N22" i="42"/>
  <c r="O22" i="42" s="1"/>
  <c r="P22" i="42" s="1"/>
  <c r="Q22" i="42" s="1"/>
  <c r="R22" i="42" s="1"/>
  <c r="S22" i="42" s="1"/>
  <c r="T22" i="42" s="1"/>
  <c r="U22" i="42" s="1"/>
  <c r="V22" i="42" s="1"/>
  <c r="W22" i="42" s="1"/>
  <c r="X22" i="42" s="1"/>
  <c r="Y22" i="42" s="1"/>
  <c r="Z22" i="42" s="1"/>
  <c r="AA22" i="42" s="1"/>
  <c r="AB22" i="42" s="1"/>
  <c r="AC22" i="42" s="1"/>
  <c r="AD22" i="42" s="1"/>
  <c r="AE22" i="42" s="1"/>
  <c r="AF22" i="42" s="1"/>
  <c r="AG22" i="42" s="1"/>
  <c r="AH22" i="42" s="1"/>
  <c r="AI22" i="42" s="1"/>
  <c r="H5" i="45"/>
  <c r="G25" i="42"/>
  <c r="H25" i="42" s="1"/>
  <c r="I25" i="42" s="1"/>
  <c r="J25" i="42" s="1"/>
  <c r="K25" i="42" s="1"/>
  <c r="L25" i="42" s="1"/>
  <c r="M25" i="42" s="1"/>
  <c r="N25" i="42" s="1"/>
  <c r="O25" i="42" s="1"/>
  <c r="P25" i="42" s="1"/>
  <c r="Q25" i="42" s="1"/>
  <c r="R25" i="42" s="1"/>
  <c r="S25" i="42" s="1"/>
  <c r="T25" i="42" s="1"/>
  <c r="U25" i="42" s="1"/>
  <c r="V25" i="42" s="1"/>
  <c r="W25" i="42" s="1"/>
  <c r="X25" i="42" s="1"/>
  <c r="Y25" i="42" s="1"/>
  <c r="Z25" i="42" s="1"/>
  <c r="AA25" i="42" s="1"/>
  <c r="AB25" i="42" s="1"/>
  <c r="AC25" i="42" s="1"/>
  <c r="AD25" i="42" s="1"/>
  <c r="AE25" i="42" s="1"/>
  <c r="AF25" i="42" s="1"/>
  <c r="AG25" i="42" s="1"/>
  <c r="AH25" i="42" s="1"/>
  <c r="AI25" i="42" s="1"/>
  <c r="AJ25" i="42" s="1"/>
  <c r="AK25" i="42" s="1"/>
  <c r="AL25" i="42" s="1"/>
  <c r="AM25" i="42" s="1"/>
  <c r="AN25" i="42" s="1"/>
  <c r="AO25" i="42" s="1"/>
  <c r="AP25" i="42" s="1"/>
  <c r="AQ25" i="42" s="1"/>
  <c r="AR25" i="42" s="1"/>
  <c r="AS25" i="42" s="1"/>
  <c r="AT25" i="42" s="1"/>
  <c r="AU25" i="42" s="1"/>
  <c r="G10" i="42"/>
  <c r="H10" i="42" s="1"/>
  <c r="I10" i="42" s="1"/>
  <c r="J10" i="42" s="1"/>
  <c r="K10" i="42" s="1"/>
  <c r="L10" i="42" s="1"/>
  <c r="M10" i="42" s="1"/>
  <c r="N10" i="42" s="1"/>
  <c r="O10" i="42" s="1"/>
  <c r="P10" i="42" s="1"/>
  <c r="Q10" i="42" s="1"/>
  <c r="R10" i="42" s="1"/>
  <c r="S10" i="42" s="1"/>
  <c r="T10" i="42" s="1"/>
  <c r="U10" i="42" s="1"/>
  <c r="V10" i="42" s="1"/>
  <c r="W10" i="42" s="1"/>
  <c r="X10" i="42" s="1"/>
  <c r="Y10" i="42" s="1"/>
  <c r="Z10" i="42" s="1"/>
  <c r="AA10" i="42" s="1"/>
  <c r="AB10" i="42" s="1"/>
  <c r="AC10" i="42" s="1"/>
  <c r="AD10" i="42" s="1"/>
  <c r="AE10" i="42" s="1"/>
  <c r="AF10" i="42" s="1"/>
  <c r="AG10" i="42" s="1"/>
  <c r="AH10" i="42" s="1"/>
  <c r="AI10" i="42" s="1"/>
  <c r="I6" i="45"/>
  <c r="I7" i="45"/>
  <c r="I4" i="45"/>
  <c r="G6" i="45"/>
  <c r="G7" i="45"/>
  <c r="G4" i="45"/>
  <c r="F43" i="42"/>
  <c r="E11" i="54"/>
  <c r="C11" i="54" s="1"/>
  <c r="J30" i="45"/>
  <c r="I30" i="45"/>
  <c r="J6" i="45"/>
  <c r="J7" i="45"/>
  <c r="J4" i="45"/>
  <c r="F49" i="42" l="1"/>
  <c r="F50" i="72" s="1"/>
  <c r="F48" i="42"/>
  <c r="F49" i="72" s="1"/>
  <c r="F47" i="42"/>
  <c r="F48" i="72" s="1"/>
  <c r="F46" i="42"/>
  <c r="F47" i="72" s="1"/>
  <c r="F3" i="72"/>
  <c r="F5" i="42"/>
  <c r="G43" i="42"/>
  <c r="F27" i="94" s="1" a="1"/>
  <c r="F104" i="79"/>
  <c r="C102" i="79"/>
  <c r="G102" i="79" s="1"/>
  <c r="AH16" i="71"/>
  <c r="AG17" i="71"/>
  <c r="AH22" i="71"/>
  <c r="AI19" i="71"/>
  <c r="K4" i="45"/>
  <c r="K7" i="45"/>
  <c r="E12" i="54"/>
  <c r="C12" i="54" s="1"/>
  <c r="G30" i="45"/>
  <c r="F30" i="45"/>
  <c r="K6" i="45"/>
  <c r="AJ22" i="42"/>
  <c r="AI23" i="42"/>
  <c r="AJ10" i="42"/>
  <c r="AI11" i="42"/>
  <c r="AI26" i="42"/>
  <c r="AM13" i="42"/>
  <c r="K30" i="45"/>
  <c r="F55" i="94" l="1"/>
  <c r="G55" i="94" s="1"/>
  <c r="F65" i="94"/>
  <c r="G65" i="94" s="1"/>
  <c r="F52" i="94"/>
  <c r="G52" i="94" s="1"/>
  <c r="F66" i="94"/>
  <c r="G66" i="94" s="1"/>
  <c r="F59" i="94"/>
  <c r="G59" i="94" s="1"/>
  <c r="F36" i="94"/>
  <c r="G36" i="94" s="1"/>
  <c r="F35" i="94"/>
  <c r="G35" i="94" s="1"/>
  <c r="F27" i="94"/>
  <c r="F46" i="94"/>
  <c r="G46" i="94" s="1"/>
  <c r="F53" i="94"/>
  <c r="G53" i="94" s="1"/>
  <c r="F39" i="94"/>
  <c r="F69" i="94"/>
  <c r="F32" i="94"/>
  <c r="G32" i="94" s="1"/>
  <c r="F45" i="94"/>
  <c r="F44" i="94"/>
  <c r="G44" i="94" s="1"/>
  <c r="F34" i="94"/>
  <c r="G34" i="94" s="1"/>
  <c r="F49" i="94"/>
  <c r="G49" i="94" s="1"/>
  <c r="F67" i="94"/>
  <c r="G67" i="94" s="1"/>
  <c r="F42" i="94"/>
  <c r="G42" i="94" s="1"/>
  <c r="F57" i="94"/>
  <c r="F50" i="94"/>
  <c r="G50" i="94" s="1"/>
  <c r="F62" i="94"/>
  <c r="G62" i="94" s="1"/>
  <c r="F64" i="94"/>
  <c r="G64" i="94" s="1"/>
  <c r="F54" i="94"/>
  <c r="G54" i="94" s="1"/>
  <c r="F33" i="94"/>
  <c r="F30" i="94"/>
  <c r="G30" i="94" s="1"/>
  <c r="F28" i="94"/>
  <c r="G28" i="94" s="1"/>
  <c r="F47" i="94"/>
  <c r="G47" i="94" s="1"/>
  <c r="F56" i="94"/>
  <c r="G56" i="94" s="1"/>
  <c r="F31" i="94"/>
  <c r="G31" i="94" s="1"/>
  <c r="F51" i="94"/>
  <c r="F60" i="94"/>
  <c r="G60" i="94" s="1"/>
  <c r="F58" i="94"/>
  <c r="G58" i="94" s="1"/>
  <c r="F38" i="94"/>
  <c r="G38" i="94" s="1"/>
  <c r="F63" i="94"/>
  <c r="F37" i="94"/>
  <c r="G37" i="94" s="1"/>
  <c r="F68" i="94"/>
  <c r="G68" i="94" s="1"/>
  <c r="F48" i="94"/>
  <c r="G48" i="94" s="1"/>
  <c r="F41" i="94"/>
  <c r="G41" i="94" s="1"/>
  <c r="F61" i="94"/>
  <c r="G61" i="94" s="1"/>
  <c r="F40" i="94"/>
  <c r="G40" i="94" s="1"/>
  <c r="F43" i="94"/>
  <c r="G43" i="94" s="1"/>
  <c r="F29" i="94"/>
  <c r="G29" i="94" s="1"/>
  <c r="F46" i="72"/>
  <c r="G5" i="42"/>
  <c r="G3" i="72"/>
  <c r="G46" i="42"/>
  <c r="G47" i="72" s="1"/>
  <c r="G47" i="42"/>
  <c r="G48" i="72" s="1"/>
  <c r="G48" i="42"/>
  <c r="G49" i="72" s="1"/>
  <c r="G49" i="42"/>
  <c r="F22" i="94"/>
  <c r="F23" i="94"/>
  <c r="F24" i="94"/>
  <c r="F105" i="79"/>
  <c r="C103" i="79"/>
  <c r="G103" i="79" s="1"/>
  <c r="AI22" i="71"/>
  <c r="AJ19" i="71"/>
  <c r="AI16" i="71"/>
  <c r="AH17" i="71"/>
  <c r="H30" i="45"/>
  <c r="O51" i="45" s="1"/>
  <c r="E13" i="54"/>
  <c r="C13" i="54" s="1"/>
  <c r="E11" i="46"/>
  <c r="C11" i="46" s="1"/>
  <c r="AJ26" i="42"/>
  <c r="AJ11" i="42"/>
  <c r="AK10" i="42"/>
  <c r="AK22" i="42"/>
  <c r="AJ23" i="42"/>
  <c r="AN13" i="42"/>
  <c r="G20" i="94" l="1"/>
  <c r="I20" i="94" s="1"/>
  <c r="G69" i="94"/>
  <c r="G39" i="94"/>
  <c r="G15" i="94"/>
  <c r="I15" i="94" s="1"/>
  <c r="G17" i="94"/>
  <c r="I17" i="94" s="1"/>
  <c r="G51" i="94"/>
  <c r="G16" i="94"/>
  <c r="I16" i="94" s="1"/>
  <c r="G45" i="94"/>
  <c r="G13" i="94"/>
  <c r="G27" i="94"/>
  <c r="G33" i="94"/>
  <c r="G14" i="94"/>
  <c r="I14" i="94" s="1"/>
  <c r="G57" i="94"/>
  <c r="G18" i="94"/>
  <c r="I18" i="94" s="1"/>
  <c r="G63" i="94"/>
  <c r="G19" i="94"/>
  <c r="I19" i="94" s="1"/>
  <c r="G46" i="72"/>
  <c r="F106" i="79"/>
  <c r="C104" i="79"/>
  <c r="G104" i="79" s="1"/>
  <c r="AK19" i="71"/>
  <c r="AJ22" i="71"/>
  <c r="AJ16" i="71"/>
  <c r="AI17" i="71"/>
  <c r="O27" i="45"/>
  <c r="O26" i="45"/>
  <c r="O14" i="45"/>
  <c r="O32" i="45"/>
  <c r="O30" i="45"/>
  <c r="O22" i="45"/>
  <c r="O42" i="45"/>
  <c r="O39" i="45"/>
  <c r="O4" i="45"/>
  <c r="O10" i="45"/>
  <c r="O20" i="45"/>
  <c r="O25" i="45"/>
  <c r="O5" i="45"/>
  <c r="O28" i="45"/>
  <c r="O36" i="45"/>
  <c r="O46" i="45"/>
  <c r="O45" i="45"/>
  <c r="O50" i="45"/>
  <c r="O44" i="45"/>
  <c r="O17" i="45"/>
  <c r="O43" i="45"/>
  <c r="O9" i="45"/>
  <c r="O11" i="45"/>
  <c r="O13" i="45"/>
  <c r="O41" i="45"/>
  <c r="O40" i="45"/>
  <c r="O38" i="45"/>
  <c r="O37" i="45"/>
  <c r="O18" i="45"/>
  <c r="O16" i="45"/>
  <c r="O6" i="45"/>
  <c r="O34" i="45"/>
  <c r="O24" i="45"/>
  <c r="O33" i="45"/>
  <c r="O29" i="45"/>
  <c r="O15" i="45"/>
  <c r="O12" i="45"/>
  <c r="O23" i="45"/>
  <c r="O31" i="45"/>
  <c r="O35" i="45"/>
  <c r="O19" i="45"/>
  <c r="O8" i="45"/>
  <c r="O21" i="45"/>
  <c r="O7" i="45"/>
  <c r="O49" i="45"/>
  <c r="O48" i="45"/>
  <c r="O47" i="45"/>
  <c r="E14" i="54"/>
  <c r="C14" i="54" s="1"/>
  <c r="E12" i="46"/>
  <c r="C12" i="46" s="1"/>
  <c r="AL22" i="42"/>
  <c r="AK23" i="42"/>
  <c r="AK11" i="42"/>
  <c r="AL10" i="42"/>
  <c r="AK26" i="42"/>
  <c r="AO13" i="42"/>
  <c r="AH11" i="42"/>
  <c r="AH23" i="42"/>
  <c r="AH26" i="42"/>
  <c r="AF11" i="42"/>
  <c r="AG11" i="42"/>
  <c r="AF23" i="42"/>
  <c r="AG23" i="42"/>
  <c r="AF26" i="42"/>
  <c r="AG26" i="42"/>
  <c r="I11" i="42"/>
  <c r="J11" i="42"/>
  <c r="K11" i="42"/>
  <c r="L11" i="42"/>
  <c r="M11" i="42"/>
  <c r="N11" i="42"/>
  <c r="O11" i="42"/>
  <c r="P11" i="42"/>
  <c r="Q11" i="42"/>
  <c r="R11" i="42"/>
  <c r="S11" i="42"/>
  <c r="T11" i="42"/>
  <c r="U11" i="42"/>
  <c r="V11" i="42"/>
  <c r="W11" i="42"/>
  <c r="X11" i="42"/>
  <c r="Y11" i="42"/>
  <c r="Z11" i="42"/>
  <c r="AA11" i="42"/>
  <c r="AB11" i="42"/>
  <c r="AC11" i="42"/>
  <c r="AD11" i="42"/>
  <c r="AE11" i="42"/>
  <c r="I23" i="42"/>
  <c r="J23" i="42"/>
  <c r="K23" i="42"/>
  <c r="L23" i="42"/>
  <c r="M23" i="42"/>
  <c r="N23" i="42"/>
  <c r="O23" i="42"/>
  <c r="P23" i="42"/>
  <c r="Q23" i="42"/>
  <c r="R23" i="42"/>
  <c r="S23" i="42"/>
  <c r="T23" i="42"/>
  <c r="U23" i="42"/>
  <c r="V23" i="42"/>
  <c r="W23" i="42"/>
  <c r="X23" i="42"/>
  <c r="Y23" i="42"/>
  <c r="Z23" i="42"/>
  <c r="AA23" i="42"/>
  <c r="AB23" i="42"/>
  <c r="AC23" i="42"/>
  <c r="AD23" i="42"/>
  <c r="AE23" i="42"/>
  <c r="I26" i="42"/>
  <c r="J26" i="42"/>
  <c r="K26" i="42"/>
  <c r="L26" i="42"/>
  <c r="M26" i="42"/>
  <c r="N26" i="42"/>
  <c r="O26" i="42"/>
  <c r="P26" i="42"/>
  <c r="Q26" i="42"/>
  <c r="R26" i="42"/>
  <c r="S26" i="42"/>
  <c r="T26" i="42"/>
  <c r="U26" i="42"/>
  <c r="V26" i="42"/>
  <c r="W26" i="42"/>
  <c r="X26" i="42"/>
  <c r="Y26" i="42"/>
  <c r="Z26" i="42"/>
  <c r="AA26" i="42"/>
  <c r="AB26" i="42"/>
  <c r="AC26" i="42"/>
  <c r="AD26" i="42"/>
  <c r="AE26" i="42"/>
  <c r="G11" i="42"/>
  <c r="H11" i="42"/>
  <c r="G23" i="42"/>
  <c r="H23" i="42"/>
  <c r="G26" i="42"/>
  <c r="H26" i="42"/>
  <c r="F13" i="94" l="1"/>
  <c r="I13" i="94"/>
  <c r="B13" i="54"/>
  <c r="B18" i="54"/>
  <c r="B43" i="54"/>
  <c r="B26" i="54"/>
  <c r="B21" i="54"/>
  <c r="B12" i="54"/>
  <c r="B30" i="54"/>
  <c r="B28" i="54"/>
  <c r="B49" i="54"/>
  <c r="B46" i="54"/>
  <c r="B48" i="54"/>
  <c r="B34" i="54"/>
  <c r="B14" i="54"/>
  <c r="B24" i="54"/>
  <c r="B17" i="54"/>
  <c r="B53" i="54"/>
  <c r="B45" i="54"/>
  <c r="B31" i="54"/>
  <c r="B42" i="54"/>
  <c r="B36" i="54"/>
  <c r="B40" i="54"/>
  <c r="F107" i="79"/>
  <c r="B51" i="54"/>
  <c r="B39" i="54"/>
  <c r="B29" i="54"/>
  <c r="B52" i="54"/>
  <c r="B11" i="54"/>
  <c r="B20" i="54"/>
  <c r="B41" i="54"/>
  <c r="B23" i="54"/>
  <c r="B33" i="54"/>
  <c r="B25" i="54"/>
  <c r="B15" i="54"/>
  <c r="B44" i="54"/>
  <c r="B16" i="54"/>
  <c r="B47" i="54"/>
  <c r="B27" i="54"/>
  <c r="B35" i="54"/>
  <c r="B22" i="54"/>
  <c r="B37" i="54"/>
  <c r="B19" i="54"/>
  <c r="B38" i="54"/>
  <c r="B50" i="54"/>
  <c r="B32" i="54"/>
  <c r="B10" i="54"/>
  <c r="C105" i="79"/>
  <c r="G105" i="79" s="1"/>
  <c r="AJ17" i="71"/>
  <c r="AK16" i="71"/>
  <c r="AK22" i="71"/>
  <c r="AL19" i="71"/>
  <c r="E15" i="54"/>
  <c r="C15" i="54" s="1"/>
  <c r="E13" i="46"/>
  <c r="C13" i="46" s="1"/>
  <c r="AL26" i="42"/>
  <c r="AL11" i="42"/>
  <c r="AM10" i="42"/>
  <c r="AM22" i="42"/>
  <c r="AL23" i="42"/>
  <c r="AP13" i="42"/>
  <c r="F4" i="45"/>
  <c r="F6" i="45"/>
  <c r="F7" i="45"/>
  <c r="F14" i="94" l="1"/>
  <c r="H13" i="94"/>
  <c r="E14" i="46"/>
  <c r="C14" i="46" s="1"/>
  <c r="F108" i="79"/>
  <c r="C106" i="79"/>
  <c r="G106" i="79" s="1"/>
  <c r="AK17" i="71"/>
  <c r="AL16" i="71"/>
  <c r="AM19" i="71"/>
  <c r="AL22" i="71"/>
  <c r="E16" i="54"/>
  <c r="C16" i="54" s="1"/>
  <c r="AN10" i="42"/>
  <c r="AM11" i="42"/>
  <c r="AM26" i="42"/>
  <c r="AN22" i="42"/>
  <c r="AM23" i="42"/>
  <c r="AQ13" i="42"/>
  <c r="H7" i="45"/>
  <c r="H6" i="45"/>
  <c r="H4" i="45"/>
  <c r="F11" i="42"/>
  <c r="F23" i="42"/>
  <c r="F26" i="42"/>
  <c r="E26" i="42"/>
  <c r="E23" i="42"/>
  <c r="E11" i="42"/>
  <c r="D26" i="42"/>
  <c r="D23" i="42"/>
  <c r="D11" i="42"/>
  <c r="F15" i="94" l="1"/>
  <c r="H14" i="94"/>
  <c r="E15" i="46"/>
  <c r="C15" i="46" s="1"/>
  <c r="D35" i="42"/>
  <c r="F109" i="79"/>
  <c r="C107" i="79"/>
  <c r="G107" i="79" s="1"/>
  <c r="AN19" i="71"/>
  <c r="AM22" i="71"/>
  <c r="AM16" i="71"/>
  <c r="AL17" i="71"/>
  <c r="N27" i="45"/>
  <c r="N38" i="45"/>
  <c r="N16" i="45"/>
  <c r="N10" i="45"/>
  <c r="N31" i="45"/>
  <c r="N21" i="45"/>
  <c r="N11" i="45"/>
  <c r="N5" i="45"/>
  <c r="N47" i="45"/>
  <c r="N45" i="45"/>
  <c r="N42" i="45"/>
  <c r="N8" i="45"/>
  <c r="N4" i="45"/>
  <c r="N41" i="45"/>
  <c r="N7" i="45"/>
  <c r="N9" i="45"/>
  <c r="N15" i="45"/>
  <c r="N14" i="45"/>
  <c r="N23" i="45"/>
  <c r="N28" i="45"/>
  <c r="N33" i="45"/>
  <c r="N17" i="45"/>
  <c r="N24" i="45"/>
  <c r="N49" i="45"/>
  <c r="N51" i="45"/>
  <c r="N30" i="45"/>
  <c r="N26" i="45"/>
  <c r="N35" i="45"/>
  <c r="N19" i="45"/>
  <c r="N22" i="45"/>
  <c r="N36" i="45"/>
  <c r="N44" i="45"/>
  <c r="N32" i="45"/>
  <c r="N50" i="45"/>
  <c r="N12" i="45"/>
  <c r="N39" i="45"/>
  <c r="N6" i="45"/>
  <c r="N48" i="45"/>
  <c r="N29" i="45"/>
  <c r="N46" i="45"/>
  <c r="N18" i="45"/>
  <c r="N37" i="45"/>
  <c r="N40" i="45"/>
  <c r="N34" i="45"/>
  <c r="N13" i="45"/>
  <c r="N25" i="45"/>
  <c r="N43" i="45"/>
  <c r="N20" i="45"/>
  <c r="E17" i="54"/>
  <c r="C17" i="54" s="1"/>
  <c r="AN26" i="42"/>
  <c r="AO22" i="42"/>
  <c r="AN23" i="42"/>
  <c r="AO10" i="42"/>
  <c r="AN11" i="42"/>
  <c r="AR13" i="42"/>
  <c r="D6" i="42"/>
  <c r="D7" i="42" s="1"/>
  <c r="F16" i="94" l="1"/>
  <c r="H15" i="94"/>
  <c r="B50" i="46"/>
  <c r="B37" i="46"/>
  <c r="E16" i="46"/>
  <c r="C16" i="46" s="1"/>
  <c r="B23" i="46"/>
  <c r="B26" i="46"/>
  <c r="B47" i="46"/>
  <c r="B28" i="46"/>
  <c r="B49" i="46"/>
  <c r="B44" i="46"/>
  <c r="B43" i="46"/>
  <c r="B33" i="46"/>
  <c r="B13" i="46"/>
  <c r="B32" i="46"/>
  <c r="B9" i="46"/>
  <c r="B35" i="46"/>
  <c r="B46" i="46"/>
  <c r="B21" i="46"/>
  <c r="B10" i="46"/>
  <c r="B40" i="46"/>
  <c r="B42" i="46"/>
  <c r="B31" i="46"/>
  <c r="F110" i="79"/>
  <c r="B15" i="46"/>
  <c r="B19" i="46"/>
  <c r="B17" i="46"/>
  <c r="B18" i="46"/>
  <c r="B29" i="46"/>
  <c r="B16" i="46"/>
  <c r="B38" i="46"/>
  <c r="B41" i="46"/>
  <c r="B30" i="46"/>
  <c r="B12" i="46"/>
  <c r="B39" i="46"/>
  <c r="B25" i="46"/>
  <c r="B22" i="46"/>
  <c r="B11" i="46"/>
  <c r="B45" i="46"/>
  <c r="B48" i="46"/>
  <c r="B27" i="46"/>
  <c r="B14" i="46"/>
  <c r="B20" i="46"/>
  <c r="B24" i="46"/>
  <c r="B36" i="46"/>
  <c r="B34" i="46"/>
  <c r="C108" i="79"/>
  <c r="G108" i="79" s="1"/>
  <c r="AM17" i="71"/>
  <c r="AN16" i="71"/>
  <c r="AN22" i="71"/>
  <c r="AO19" i="71"/>
  <c r="E18" i="54"/>
  <c r="C18" i="54" s="1"/>
  <c r="AO11" i="42"/>
  <c r="AP10" i="42"/>
  <c r="AP22" i="42"/>
  <c r="AO23" i="42"/>
  <c r="AO26" i="42"/>
  <c r="AS13" i="42"/>
  <c r="D36" i="42"/>
  <c r="F17" i="94" l="1"/>
  <c r="H16" i="94"/>
  <c r="E17" i="46"/>
  <c r="C17" i="46" s="1"/>
  <c r="F111" i="79"/>
  <c r="C109" i="79"/>
  <c r="G109" i="79" s="1"/>
  <c r="AO22" i="71"/>
  <c r="AP19" i="71"/>
  <c r="AO16" i="71"/>
  <c r="AN17" i="71"/>
  <c r="E19" i="54"/>
  <c r="C19" i="54" s="1"/>
  <c r="AP26" i="42"/>
  <c r="AQ22" i="42"/>
  <c r="AP23" i="42"/>
  <c r="AQ10" i="42"/>
  <c r="AP11" i="42"/>
  <c r="AT13" i="42"/>
  <c r="F18" i="94" l="1"/>
  <c r="H17" i="94"/>
  <c r="E18" i="46"/>
  <c r="C18" i="46" s="1"/>
  <c r="F112" i="79"/>
  <c r="C110" i="79"/>
  <c r="G110" i="79" s="1"/>
  <c r="AP16" i="71"/>
  <c r="AO17" i="71"/>
  <c r="AQ19" i="71"/>
  <c r="AP22" i="71"/>
  <c r="E20" i="54"/>
  <c r="C20" i="54" s="1"/>
  <c r="AR10" i="42"/>
  <c r="AQ11" i="42"/>
  <c r="AR22" i="42"/>
  <c r="AQ23" i="42"/>
  <c r="AQ26" i="42"/>
  <c r="AU13" i="42"/>
  <c r="F19" i="94" l="1"/>
  <c r="H18" i="94"/>
  <c r="E19" i="46"/>
  <c r="C19" i="46" s="1"/>
  <c r="F113" i="79"/>
  <c r="C111" i="79"/>
  <c r="G111" i="79" s="1"/>
  <c r="AQ22" i="71"/>
  <c r="AR19" i="71"/>
  <c r="AQ16" i="71"/>
  <c r="AP17" i="71"/>
  <c r="E21" i="54"/>
  <c r="C21" i="54" s="1"/>
  <c r="AS22" i="42"/>
  <c r="AR23" i="42"/>
  <c r="AR26" i="42"/>
  <c r="AS10" i="42"/>
  <c r="AR11" i="42"/>
  <c r="F20" i="94" l="1"/>
  <c r="H20" i="94" s="1"/>
  <c r="H19" i="94"/>
  <c r="E20" i="46"/>
  <c r="C20" i="46" s="1"/>
  <c r="F114" i="79"/>
  <c r="C112" i="79"/>
  <c r="G112" i="79" s="1"/>
  <c r="AS19" i="71"/>
  <c r="AR22" i="71"/>
  <c r="AQ17" i="71"/>
  <c r="AR16" i="71"/>
  <c r="E22" i="54"/>
  <c r="C22" i="54" s="1"/>
  <c r="AT10" i="42"/>
  <c r="AS11" i="42"/>
  <c r="AS26" i="42"/>
  <c r="AT22" i="42"/>
  <c r="AS23" i="42"/>
  <c r="E21" i="46" l="1"/>
  <c r="C21" i="46" s="1"/>
  <c r="F115" i="79"/>
  <c r="C113" i="79"/>
  <c r="G113" i="79" s="1"/>
  <c r="AS16" i="71"/>
  <c r="AR17" i="71"/>
  <c r="AT19" i="71"/>
  <c r="AS22" i="71"/>
  <c r="E23" i="54"/>
  <c r="C23" i="54" s="1"/>
  <c r="AU22" i="42"/>
  <c r="AT23" i="42"/>
  <c r="AT26" i="42"/>
  <c r="AU10" i="42"/>
  <c r="AT11" i="42"/>
  <c r="E22" i="46" l="1"/>
  <c r="C22" i="46" s="1"/>
  <c r="F116" i="79"/>
  <c r="C114" i="79"/>
  <c r="G114" i="79" s="1"/>
  <c r="AU19" i="71"/>
  <c r="AT22" i="71"/>
  <c r="AS17" i="71"/>
  <c r="AT16" i="71"/>
  <c r="E24" i="54"/>
  <c r="C24" i="54" s="1"/>
  <c r="AU26" i="42"/>
  <c r="AU23" i="42"/>
  <c r="AU11" i="42"/>
  <c r="E23" i="46" l="1"/>
  <c r="C23" i="46" s="1"/>
  <c r="F117" i="79"/>
  <c r="C115" i="79"/>
  <c r="G115" i="79" s="1"/>
  <c r="AU22" i="71"/>
  <c r="AT17" i="71"/>
  <c r="AU16" i="71"/>
  <c r="E25" i="54"/>
  <c r="C25" i="54" s="1"/>
  <c r="E24" i="46" l="1"/>
  <c r="F118" i="79"/>
  <c r="C116" i="79"/>
  <c r="G116" i="79" s="1"/>
  <c r="AU17" i="71"/>
  <c r="E26" i="54"/>
  <c r="C26" i="54" s="1"/>
  <c r="E26" i="46" l="1"/>
  <c r="C26" i="46" s="1"/>
  <c r="C24" i="46"/>
  <c r="F119" i="79"/>
  <c r="C117" i="79"/>
  <c r="G117" i="79" s="1"/>
  <c r="E27" i="54"/>
  <c r="C27" i="54" s="1"/>
  <c r="E27" i="46" l="1"/>
  <c r="C27" i="46" s="1"/>
  <c r="F120" i="79"/>
  <c r="C118" i="79"/>
  <c r="G118" i="79" s="1"/>
  <c r="E28" i="54"/>
  <c r="C28" i="54" s="1"/>
  <c r="E28" i="46" l="1"/>
  <c r="C28" i="46" s="1"/>
  <c r="F121" i="79"/>
  <c r="C119" i="79"/>
  <c r="G119" i="79" s="1"/>
  <c r="E29" i="54"/>
  <c r="C29" i="54" s="1"/>
  <c r="E29" i="46" l="1"/>
  <c r="C29" i="46" s="1"/>
  <c r="F122" i="79"/>
  <c r="C120" i="79"/>
  <c r="G120" i="79" s="1"/>
  <c r="E30" i="54"/>
  <c r="C30" i="54" s="1"/>
  <c r="E30" i="46" l="1"/>
  <c r="C30" i="46" s="1"/>
  <c r="F123" i="79"/>
  <c r="C121" i="79"/>
  <c r="G121" i="79" s="1"/>
  <c r="E31" i="54"/>
  <c r="C31" i="54" s="1"/>
  <c r="E31" i="46" l="1"/>
  <c r="C31" i="46" s="1"/>
  <c r="F124" i="79"/>
  <c r="C122" i="79"/>
  <c r="G122" i="79" s="1"/>
  <c r="E32" i="54"/>
  <c r="C32" i="54" s="1"/>
  <c r="E32" i="46" l="1"/>
  <c r="C32" i="46" s="1"/>
  <c r="F125" i="79"/>
  <c r="C123" i="79"/>
  <c r="G123" i="79" s="1"/>
  <c r="E33" i="54"/>
  <c r="C33" i="54" s="1"/>
  <c r="E33" i="46" l="1"/>
  <c r="C33" i="46" s="1"/>
  <c r="F126" i="79"/>
  <c r="C124" i="79"/>
  <c r="G124" i="79" s="1"/>
  <c r="E34" i="54"/>
  <c r="C34" i="54" s="1"/>
  <c r="E34" i="46" l="1"/>
  <c r="C34" i="46" s="1"/>
  <c r="F127" i="79"/>
  <c r="C125" i="79"/>
  <c r="G125" i="79" s="1"/>
  <c r="E35" i="54"/>
  <c r="C35" i="54" s="1"/>
  <c r="E35" i="46" l="1"/>
  <c r="C35" i="46" s="1"/>
  <c r="F128" i="79"/>
  <c r="C126" i="79"/>
  <c r="G126" i="79" s="1"/>
  <c r="E36" i="54"/>
  <c r="C36" i="54" s="1"/>
  <c r="E36" i="46" l="1"/>
  <c r="C36" i="46" s="1"/>
  <c r="F129" i="79"/>
  <c r="C127" i="79"/>
  <c r="G127" i="79" s="1"/>
  <c r="E37" i="54"/>
  <c r="C37" i="54" s="1"/>
  <c r="E37" i="46" l="1"/>
  <c r="C37" i="46" s="1"/>
  <c r="F130" i="79"/>
  <c r="C128" i="79"/>
  <c r="G128" i="79" s="1"/>
  <c r="E38" i="54"/>
  <c r="C38" i="54" s="1"/>
  <c r="E38" i="46" l="1"/>
  <c r="C38" i="46" s="1"/>
  <c r="C129" i="79"/>
  <c r="G129" i="79" s="1"/>
  <c r="E39" i="54"/>
  <c r="C39" i="54" s="1"/>
  <c r="E39" i="46" l="1"/>
  <c r="C39" i="46" s="1"/>
  <c r="C130" i="79"/>
  <c r="G130" i="79" s="1"/>
  <c r="E40" i="54"/>
  <c r="C40" i="54" s="1"/>
  <c r="E40" i="46" l="1"/>
  <c r="C40" i="46" s="1"/>
  <c r="E41" i="54"/>
  <c r="C41" i="54" s="1"/>
  <c r="E41" i="46" l="1"/>
  <c r="C41" i="46" s="1"/>
  <c r="E42" i="54"/>
  <c r="C42" i="54" s="1"/>
  <c r="E42" i="46" l="1"/>
  <c r="C42" i="46" s="1"/>
  <c r="E43" i="54"/>
  <c r="C43" i="54" s="1"/>
  <c r="E43" i="46" l="1"/>
  <c r="C43" i="46" s="1"/>
  <c r="E44" i="54"/>
  <c r="C44" i="54" s="1"/>
  <c r="E44" i="46" l="1"/>
  <c r="C44" i="46" s="1"/>
  <c r="E45" i="54"/>
  <c r="C45" i="54" s="1"/>
  <c r="E45" i="46" l="1"/>
  <c r="C45" i="46" s="1"/>
  <c r="E46" i="54"/>
  <c r="C46" i="54" s="1"/>
  <c r="E46" i="46" l="1"/>
  <c r="C46" i="46" s="1"/>
  <c r="AI6" i="42"/>
  <c r="AI7" i="42" s="1"/>
  <c r="E47" i="54"/>
  <c r="C47" i="54" s="1"/>
  <c r="AI28" i="71" l="1"/>
  <c r="AI29" i="71" s="1"/>
  <c r="AI30" i="42"/>
  <c r="E47" i="46"/>
  <c r="C47" i="46" s="1"/>
  <c r="AJ6" i="42"/>
  <c r="AJ7" i="42" s="1"/>
  <c r="E48" i="54"/>
  <c r="C48" i="54" s="1"/>
  <c r="V6" i="42"/>
  <c r="V7" i="42" s="1"/>
  <c r="Z6" i="42"/>
  <c r="Z7" i="42" s="1"/>
  <c r="AD6" i="42"/>
  <c r="AD7" i="42" s="1"/>
  <c r="AG6" i="42"/>
  <c r="AG7" i="42" s="1"/>
  <c r="T6" i="42"/>
  <c r="T7" i="42" s="1"/>
  <c r="I6" i="42"/>
  <c r="I7" i="42" s="1"/>
  <c r="O6" i="42"/>
  <c r="O7" i="42" s="1"/>
  <c r="AA6" i="42"/>
  <c r="AA7" i="42" s="1"/>
  <c r="AF6" i="42"/>
  <c r="AF7" i="42" s="1"/>
  <c r="H6" i="42"/>
  <c r="H7" i="42" s="1"/>
  <c r="X6" i="42"/>
  <c r="X7" i="42" s="1"/>
  <c r="U6" i="42"/>
  <c r="U7" i="42" s="1"/>
  <c r="J6" i="42"/>
  <c r="J7" i="42" s="1"/>
  <c r="G6" i="42"/>
  <c r="G7" i="42" s="1"/>
  <c r="AH6" i="42"/>
  <c r="AH7" i="42" s="1"/>
  <c r="R6" i="42"/>
  <c r="R7" i="42" s="1"/>
  <c r="E6" i="42"/>
  <c r="E7" i="42" s="1"/>
  <c r="M6" i="42"/>
  <c r="M7" i="42" s="1"/>
  <c r="N6" i="42"/>
  <c r="N7" i="42" s="1"/>
  <c r="S6" i="42"/>
  <c r="S7" i="42" s="1"/>
  <c r="P6" i="42"/>
  <c r="P7" i="42" s="1"/>
  <c r="Q6" i="42"/>
  <c r="Q7" i="42" s="1"/>
  <c r="F6" i="42"/>
  <c r="F7" i="42" s="1"/>
  <c r="W6" i="42"/>
  <c r="W7" i="42" s="1"/>
  <c r="L6" i="42"/>
  <c r="L7" i="42" s="1"/>
  <c r="Y6" i="42"/>
  <c r="Y7" i="42" s="1"/>
  <c r="K6" i="42"/>
  <c r="K7" i="42" s="1"/>
  <c r="AC6" i="42"/>
  <c r="AC7" i="42" s="1"/>
  <c r="AE6" i="42"/>
  <c r="AE7" i="42" s="1"/>
  <c r="AB6" i="42"/>
  <c r="AB7" i="42" s="1"/>
  <c r="AI30" i="71" l="1"/>
  <c r="M28" i="71"/>
  <c r="M29" i="71" s="1"/>
  <c r="M30" i="42"/>
  <c r="Z28" i="71"/>
  <c r="Z29" i="71" s="1"/>
  <c r="Z30" i="42"/>
  <c r="L28" i="71"/>
  <c r="L29" i="71" s="1"/>
  <c r="L30" i="42"/>
  <c r="AF28" i="71"/>
  <c r="AF29" i="71" s="1"/>
  <c r="AF30" i="42"/>
  <c r="AF29" i="42"/>
  <c r="V28" i="71"/>
  <c r="V29" i="71" s="1"/>
  <c r="V30" i="42"/>
  <c r="AJ28" i="71"/>
  <c r="AJ29" i="71" s="1"/>
  <c r="AJ30" i="42"/>
  <c r="W28" i="71"/>
  <c r="W29" i="71" s="1"/>
  <c r="W30" i="42"/>
  <c r="H28" i="71"/>
  <c r="H29" i="71" s="1"/>
  <c r="H30" i="42"/>
  <c r="AB28" i="71"/>
  <c r="AB29" i="71" s="1"/>
  <c r="AB30" i="42"/>
  <c r="Q28" i="71"/>
  <c r="Q29" i="71" s="1"/>
  <c r="Q30" i="42"/>
  <c r="G28" i="71"/>
  <c r="G29" i="71" s="1"/>
  <c r="G30" i="42"/>
  <c r="I28" i="71"/>
  <c r="I29" i="71" s="1"/>
  <c r="I30" i="42"/>
  <c r="AE28" i="71"/>
  <c r="AE29" i="71" s="1"/>
  <c r="AE30" i="42"/>
  <c r="P28" i="71"/>
  <c r="P29" i="71" s="1"/>
  <c r="P30" i="42"/>
  <c r="J28" i="71"/>
  <c r="J29" i="71" s="1"/>
  <c r="J30" i="42"/>
  <c r="T28" i="71"/>
  <c r="T29" i="71" s="1"/>
  <c r="T30" i="42"/>
  <c r="Y28" i="71"/>
  <c r="Y29" i="71" s="1"/>
  <c r="Y30" i="42"/>
  <c r="R28" i="71"/>
  <c r="R29" i="71" s="1"/>
  <c r="R30" i="42"/>
  <c r="AA28" i="71"/>
  <c r="AA29" i="71" s="1"/>
  <c r="AA30" i="42"/>
  <c r="AH28" i="71"/>
  <c r="AH29" i="71" s="1"/>
  <c r="AH30" i="42"/>
  <c r="AH29" i="42"/>
  <c r="O28" i="71"/>
  <c r="O29" i="71" s="1"/>
  <c r="O30" i="42"/>
  <c r="AC28" i="71"/>
  <c r="AC29" i="71" s="1"/>
  <c r="AC30" i="42"/>
  <c r="S28" i="71"/>
  <c r="S29" i="71" s="1"/>
  <c r="S30" i="42"/>
  <c r="U28" i="71"/>
  <c r="U29" i="71" s="1"/>
  <c r="U30" i="42"/>
  <c r="AG28" i="71"/>
  <c r="AG29" i="71" s="1"/>
  <c r="AG30" i="42"/>
  <c r="AG29" i="42"/>
  <c r="F30" i="42"/>
  <c r="K28" i="71"/>
  <c r="K29" i="71" s="1"/>
  <c r="K30" i="42"/>
  <c r="N28" i="71"/>
  <c r="N29" i="71" s="1"/>
  <c r="N30" i="42"/>
  <c r="X28" i="71"/>
  <c r="X29" i="71" s="1"/>
  <c r="X30" i="42"/>
  <c r="AD28" i="71"/>
  <c r="AD29" i="71" s="1"/>
  <c r="AD30" i="42"/>
  <c r="E48" i="46"/>
  <c r="C48" i="46" s="1"/>
  <c r="AI29" i="42"/>
  <c r="AK6" i="42"/>
  <c r="AK7" i="42" s="1"/>
  <c r="E49" i="54"/>
  <c r="C49" i="54" s="1"/>
  <c r="AI51" i="71" l="1"/>
  <c r="AF30" i="71"/>
  <c r="H30" i="71"/>
  <c r="J30" i="71"/>
  <c r="L30" i="71"/>
  <c r="AC30" i="71"/>
  <c r="S30" i="71"/>
  <c r="G30" i="71"/>
  <c r="W30" i="71"/>
  <c r="T30" i="71"/>
  <c r="O30" i="71"/>
  <c r="AJ30" i="71"/>
  <c r="Z30" i="71"/>
  <c r="K30" i="71"/>
  <c r="R30" i="71"/>
  <c r="AA30" i="71"/>
  <c r="P30" i="71"/>
  <c r="AD30" i="71"/>
  <c r="Q30" i="71"/>
  <c r="X30" i="71"/>
  <c r="U30" i="71"/>
  <c r="AE30" i="71"/>
  <c r="AB30" i="71"/>
  <c r="V30" i="71"/>
  <c r="M30" i="71"/>
  <c r="AH30" i="71"/>
  <c r="I30" i="71"/>
  <c r="AG30" i="71"/>
  <c r="N30" i="71"/>
  <c r="Y30" i="71"/>
  <c r="F28" i="71"/>
  <c r="D8" i="87"/>
  <c r="D9" i="87" s="1"/>
  <c r="D10" i="87" s="1"/>
  <c r="D11" i="87" s="1"/>
  <c r="D12" i="87" s="1"/>
  <c r="D13" i="87" s="1"/>
  <c r="D14" i="87" s="1"/>
  <c r="D15" i="87" s="1"/>
  <c r="D16" i="87" s="1"/>
  <c r="D17" i="87" s="1"/>
  <c r="D18" i="87" s="1"/>
  <c r="D19" i="87" s="1"/>
  <c r="D20" i="87" s="1"/>
  <c r="D21" i="87" s="1"/>
  <c r="D22" i="87" s="1"/>
  <c r="D23" i="87" s="1"/>
  <c r="D24" i="87" s="1"/>
  <c r="D25" i="87" s="1"/>
  <c r="D26" i="87" s="1"/>
  <c r="D27" i="87" s="1"/>
  <c r="D28" i="87" s="1"/>
  <c r="D29" i="87" s="1"/>
  <c r="D30" i="87" s="1"/>
  <c r="D31" i="87" s="1"/>
  <c r="D32" i="87" s="1"/>
  <c r="D33" i="87" s="1"/>
  <c r="D34" i="87" s="1"/>
  <c r="D35" i="87" s="1"/>
  <c r="D36" i="87" s="1"/>
  <c r="D37" i="87" s="1"/>
  <c r="D38" i="87" s="1"/>
  <c r="D39" i="87" s="1"/>
  <c r="E28" i="71"/>
  <c r="E29" i="71" s="1"/>
  <c r="D8" i="86"/>
  <c r="D9" i="86" s="1"/>
  <c r="D10" i="86" s="1"/>
  <c r="D11" i="86" s="1"/>
  <c r="D12" i="86" s="1"/>
  <c r="D13" i="86" s="1"/>
  <c r="D14" i="86" s="1"/>
  <c r="D15" i="86" s="1"/>
  <c r="D16" i="86" s="1"/>
  <c r="D17" i="86" s="1"/>
  <c r="D18" i="86" s="1"/>
  <c r="D19" i="86" s="1"/>
  <c r="D20" i="86" s="1"/>
  <c r="D21" i="86" s="1"/>
  <c r="D22" i="86" s="1"/>
  <c r="D23" i="86" s="1"/>
  <c r="D24" i="86" s="1"/>
  <c r="D25" i="86" s="1"/>
  <c r="D26" i="86" s="1"/>
  <c r="D27" i="86" s="1"/>
  <c r="D28" i="86" s="1"/>
  <c r="D29" i="86" s="1"/>
  <c r="D30" i="86" s="1"/>
  <c r="D31" i="86" s="1"/>
  <c r="D32" i="86" s="1"/>
  <c r="D33" i="86" s="1"/>
  <c r="D34" i="86" s="1"/>
  <c r="D35" i="86" s="1"/>
  <c r="D36" i="86" s="1"/>
  <c r="D37" i="86" s="1"/>
  <c r="D38" i="86" s="1"/>
  <c r="D39" i="86" s="1"/>
  <c r="E30" i="42"/>
  <c r="AJ29" i="42"/>
  <c r="AK28" i="71"/>
  <c r="AK29" i="71" s="1"/>
  <c r="AK30" i="42"/>
  <c r="E49" i="46"/>
  <c r="C49" i="46" s="1"/>
  <c r="W28" i="42"/>
  <c r="Y28" i="42"/>
  <c r="E29" i="42"/>
  <c r="X28" i="42"/>
  <c r="E28" i="42"/>
  <c r="U29" i="42"/>
  <c r="T29" i="42"/>
  <c r="T28" i="42"/>
  <c r="AB29" i="42"/>
  <c r="AE28" i="42"/>
  <c r="F28" i="42"/>
  <c r="J29" i="42"/>
  <c r="AE29" i="42"/>
  <c r="AD28" i="42"/>
  <c r="W29" i="42"/>
  <c r="G28" i="42"/>
  <c r="L29" i="42"/>
  <c r="AD29" i="42"/>
  <c r="N29" i="42"/>
  <c r="L28" i="42"/>
  <c r="I29" i="42"/>
  <c r="N28" i="42"/>
  <c r="U28" i="42"/>
  <c r="J28" i="42"/>
  <c r="X29" i="42"/>
  <c r="AC28" i="42"/>
  <c r="Z28" i="42"/>
  <c r="Y29" i="42"/>
  <c r="H28" i="42"/>
  <c r="S28" i="42"/>
  <c r="AA29" i="42"/>
  <c r="AC29" i="42"/>
  <c r="Z29" i="42"/>
  <c r="Q28" i="42"/>
  <c r="S29" i="42"/>
  <c r="R28" i="42"/>
  <c r="P29" i="42"/>
  <c r="M28" i="42"/>
  <c r="I28" i="42"/>
  <c r="G29" i="42"/>
  <c r="Q29" i="42"/>
  <c r="AF28" i="42"/>
  <c r="AF31" i="42" s="1"/>
  <c r="AF35" i="42" s="1"/>
  <c r="R29" i="42"/>
  <c r="P28" i="42"/>
  <c r="F29" i="42"/>
  <c r="AA28" i="42"/>
  <c r="O28" i="42"/>
  <c r="V29" i="42"/>
  <c r="K29" i="42"/>
  <c r="M29" i="42"/>
  <c r="H29" i="42"/>
  <c r="AB28" i="42"/>
  <c r="O29" i="42"/>
  <c r="V28" i="42"/>
  <c r="K28" i="42"/>
  <c r="AL6" i="42"/>
  <c r="AL7" i="42" s="1"/>
  <c r="E50" i="54"/>
  <c r="C50" i="54" s="1"/>
  <c r="AG28" i="42"/>
  <c r="AG31" i="42" s="1"/>
  <c r="AG35" i="42" s="1"/>
  <c r="D8" i="46"/>
  <c r="D9" i="46" s="1"/>
  <c r="D10" i="54"/>
  <c r="AI8" i="71" l="1"/>
  <c r="AI56" i="72" s="1"/>
  <c r="AI7" i="71"/>
  <c r="AI55" i="72" s="1"/>
  <c r="AI6" i="71"/>
  <c r="AI54" i="72" s="1"/>
  <c r="AI5" i="71"/>
  <c r="AI53" i="72" s="1"/>
  <c r="Z51" i="71"/>
  <c r="G51" i="71"/>
  <c r="I51" i="71"/>
  <c r="S51" i="71"/>
  <c r="Y51" i="71"/>
  <c r="W51" i="71"/>
  <c r="AC51" i="71"/>
  <c r="K51" i="71"/>
  <c r="T51" i="71"/>
  <c r="U51" i="71"/>
  <c r="L51" i="71"/>
  <c r="R51" i="71"/>
  <c r="AG51" i="71"/>
  <c r="X51" i="71"/>
  <c r="J51" i="71"/>
  <c r="N51" i="71"/>
  <c r="AH51" i="71"/>
  <c r="Q51" i="71"/>
  <c r="H51" i="71"/>
  <c r="O51" i="71"/>
  <c r="AB51" i="71"/>
  <c r="AD51" i="71"/>
  <c r="AF51" i="71"/>
  <c r="M51" i="71"/>
  <c r="AE51" i="71"/>
  <c r="P51" i="71"/>
  <c r="AJ51" i="71"/>
  <c r="V51" i="71"/>
  <c r="AA51" i="71"/>
  <c r="G31" i="42"/>
  <c r="G35" i="42" s="1"/>
  <c r="E30" i="71"/>
  <c r="AK30" i="71"/>
  <c r="F29" i="71"/>
  <c r="D40" i="86"/>
  <c r="U31" i="42"/>
  <c r="U35" i="42" s="1"/>
  <c r="T31" i="42"/>
  <c r="T35" i="42" s="1"/>
  <c r="W31" i="42"/>
  <c r="W35" i="42" s="1"/>
  <c r="AA31" i="42"/>
  <c r="AA35" i="42" s="1"/>
  <c r="E31" i="42"/>
  <c r="E35" i="42" s="1"/>
  <c r="AB31" i="42"/>
  <c r="AB35" i="42" s="1"/>
  <c r="R31" i="42"/>
  <c r="R35" i="42" s="1"/>
  <c r="L31" i="42"/>
  <c r="L35" i="42" s="1"/>
  <c r="X31" i="42"/>
  <c r="X35" i="42" s="1"/>
  <c r="J31" i="42"/>
  <c r="J35" i="42" s="1"/>
  <c r="Q31" i="42"/>
  <c r="Q35" i="42" s="1"/>
  <c r="Y31" i="42"/>
  <c r="Y35" i="42" s="1"/>
  <c r="O31" i="42"/>
  <c r="O35" i="42" s="1"/>
  <c r="AD31" i="42"/>
  <c r="AD35" i="42" s="1"/>
  <c r="H31" i="42"/>
  <c r="H35" i="42" s="1"/>
  <c r="P31" i="42"/>
  <c r="P35" i="42" s="1"/>
  <c r="F31" i="42"/>
  <c r="F35" i="42" s="1"/>
  <c r="S31" i="42"/>
  <c r="S35" i="42" s="1"/>
  <c r="Z31" i="42"/>
  <c r="Z35" i="42" s="1"/>
  <c r="AE31" i="42"/>
  <c r="AE35" i="42" s="1"/>
  <c r="AC31" i="42"/>
  <c r="AC35" i="42" s="1"/>
  <c r="K31" i="42"/>
  <c r="K35" i="42" s="1"/>
  <c r="I31" i="42"/>
  <c r="I35" i="42" s="1"/>
  <c r="V31" i="42"/>
  <c r="V35" i="42" s="1"/>
  <c r="M31" i="42"/>
  <c r="M35" i="42" s="1"/>
  <c r="N31" i="42"/>
  <c r="N35" i="42" s="1"/>
  <c r="D40" i="87"/>
  <c r="AK29" i="42"/>
  <c r="AL28" i="71"/>
  <c r="AL29" i="71" s="1"/>
  <c r="AL30" i="42"/>
  <c r="AL29" i="42"/>
  <c r="C50" i="46"/>
  <c r="D11" i="54"/>
  <c r="D12" i="54" s="1"/>
  <c r="D13" i="54" s="1"/>
  <c r="D14" i="54" s="1"/>
  <c r="D15" i="54" s="1"/>
  <c r="D16" i="54" s="1"/>
  <c r="D17" i="54" s="1"/>
  <c r="D18" i="54" s="1"/>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10" i="46"/>
  <c r="D11" i="46" s="1"/>
  <c r="D12" i="46" s="1"/>
  <c r="D13" i="46" s="1"/>
  <c r="D14" i="46" s="1"/>
  <c r="D15" i="46" s="1"/>
  <c r="D16" i="46" s="1"/>
  <c r="D17" i="46" s="1"/>
  <c r="D18" i="46" s="1"/>
  <c r="D19" i="46" s="1"/>
  <c r="D20" i="46" s="1"/>
  <c r="D21" i="46" s="1"/>
  <c r="D22" i="46" s="1"/>
  <c r="D23" i="46" s="1"/>
  <c r="D24" i="46" s="1"/>
  <c r="D25" i="46" s="1"/>
  <c r="D26" i="46" s="1"/>
  <c r="D27" i="46" s="1"/>
  <c r="D28" i="46" s="1"/>
  <c r="D29" i="46" s="1"/>
  <c r="D30" i="46" s="1"/>
  <c r="D31" i="46" s="1"/>
  <c r="D32" i="46" s="1"/>
  <c r="D33" i="46" s="1"/>
  <c r="D34" i="46" s="1"/>
  <c r="D35" i="46" s="1"/>
  <c r="D36" i="46" s="1"/>
  <c r="D37" i="46" s="1"/>
  <c r="AM6" i="42"/>
  <c r="AM7" i="42" s="1"/>
  <c r="E51" i="54"/>
  <c r="C51" i="54" s="1"/>
  <c r="AH28" i="42"/>
  <c r="AH31" i="42" s="1"/>
  <c r="AH35" i="42" s="1"/>
  <c r="AI52" i="72" l="1"/>
  <c r="AJ8" i="71"/>
  <c r="AJ56" i="72" s="1"/>
  <c r="AJ7" i="71"/>
  <c r="AJ55" i="72" s="1"/>
  <c r="AJ6" i="71"/>
  <c r="AJ54" i="72" s="1"/>
  <c r="AJ5" i="71"/>
  <c r="AJ53" i="72" s="1"/>
  <c r="AE8" i="71"/>
  <c r="AE56" i="72" s="1"/>
  <c r="AE7" i="71"/>
  <c r="AE55" i="72" s="1"/>
  <c r="AE6" i="71"/>
  <c r="AE54" i="72" s="1"/>
  <c r="AE5" i="71"/>
  <c r="AE53" i="72" s="1"/>
  <c r="P8" i="71"/>
  <c r="P56" i="72" s="1"/>
  <c r="P7" i="71"/>
  <c r="P55" i="72" s="1"/>
  <c r="P6" i="71"/>
  <c r="P54" i="72" s="1"/>
  <c r="P5" i="71"/>
  <c r="P53" i="72" s="1"/>
  <c r="W8" i="71"/>
  <c r="W56" i="72" s="1"/>
  <c r="W7" i="71"/>
  <c r="W55" i="72" s="1"/>
  <c r="W6" i="71"/>
  <c r="W54" i="72" s="1"/>
  <c r="W5" i="71"/>
  <c r="W53" i="72" s="1"/>
  <c r="T8" i="71"/>
  <c r="T56" i="72" s="1"/>
  <c r="T7" i="71"/>
  <c r="T55" i="72" s="1"/>
  <c r="T6" i="71"/>
  <c r="T54" i="72" s="1"/>
  <c r="T5" i="71"/>
  <c r="T53" i="72" s="1"/>
  <c r="AD8" i="71"/>
  <c r="AD56" i="72" s="1"/>
  <c r="AD7" i="71"/>
  <c r="AD55" i="72" s="1"/>
  <c r="AD6" i="71"/>
  <c r="AD54" i="72" s="1"/>
  <c r="AD5" i="71"/>
  <c r="AD53" i="72" s="1"/>
  <c r="I8" i="71"/>
  <c r="I56" i="72" s="1"/>
  <c r="I7" i="71"/>
  <c r="I55" i="72" s="1"/>
  <c r="I6" i="71"/>
  <c r="I54" i="72" s="1"/>
  <c r="I5" i="71"/>
  <c r="I53" i="72" s="1"/>
  <c r="U8" i="71"/>
  <c r="U56" i="72" s="1"/>
  <c r="U7" i="71"/>
  <c r="U55" i="72" s="1"/>
  <c r="U6" i="71"/>
  <c r="U54" i="72" s="1"/>
  <c r="U5" i="71"/>
  <c r="U53" i="72" s="1"/>
  <c r="M8" i="71"/>
  <c r="M56" i="72" s="1"/>
  <c r="M7" i="71"/>
  <c r="M55" i="72" s="1"/>
  <c r="M6" i="71"/>
  <c r="M54" i="72" s="1"/>
  <c r="M5" i="71"/>
  <c r="M53" i="72" s="1"/>
  <c r="Y8" i="71"/>
  <c r="Y56" i="72" s="1"/>
  <c r="Y7" i="71"/>
  <c r="Y55" i="72" s="1"/>
  <c r="Y6" i="71"/>
  <c r="Y54" i="72" s="1"/>
  <c r="Y5" i="71"/>
  <c r="Y53" i="72" s="1"/>
  <c r="G8" i="71"/>
  <c r="G56" i="72" s="1"/>
  <c r="G7" i="71"/>
  <c r="G55" i="72" s="1"/>
  <c r="G6" i="71"/>
  <c r="G54" i="72" s="1"/>
  <c r="G5" i="71"/>
  <c r="G53" i="72" s="1"/>
  <c r="L8" i="71"/>
  <c r="L56" i="72" s="1"/>
  <c r="L7" i="71"/>
  <c r="L55" i="72" s="1"/>
  <c r="L6" i="71"/>
  <c r="L54" i="72" s="1"/>
  <c r="L5" i="71"/>
  <c r="L53" i="72" s="1"/>
  <c r="K8" i="71"/>
  <c r="K56" i="72" s="1"/>
  <c r="K7" i="71"/>
  <c r="K55" i="72" s="1"/>
  <c r="K6" i="71"/>
  <c r="K54" i="72" s="1"/>
  <c r="K5" i="71"/>
  <c r="K53" i="72" s="1"/>
  <c r="O8" i="71"/>
  <c r="O56" i="72" s="1"/>
  <c r="O7" i="71"/>
  <c r="O55" i="72" s="1"/>
  <c r="O6" i="71"/>
  <c r="O54" i="72" s="1"/>
  <c r="O5" i="71"/>
  <c r="O53" i="72" s="1"/>
  <c r="Z8" i="71"/>
  <c r="Z56" i="72" s="1"/>
  <c r="Z7" i="71"/>
  <c r="Z55" i="72" s="1"/>
  <c r="Z6" i="71"/>
  <c r="Z54" i="72" s="1"/>
  <c r="Z5" i="71"/>
  <c r="Z53" i="72" s="1"/>
  <c r="V8" i="71"/>
  <c r="V56" i="72" s="1"/>
  <c r="V7" i="71"/>
  <c r="V55" i="72" s="1"/>
  <c r="V6" i="71"/>
  <c r="V54" i="72" s="1"/>
  <c r="V5" i="71"/>
  <c r="V53" i="72" s="1"/>
  <c r="AC8" i="71"/>
  <c r="AC56" i="72" s="1"/>
  <c r="AC7" i="71"/>
  <c r="AC55" i="72" s="1"/>
  <c r="AC6" i="71"/>
  <c r="AC54" i="72" s="1"/>
  <c r="AC5" i="71"/>
  <c r="AC53" i="72" s="1"/>
  <c r="AC52" i="72" s="1"/>
  <c r="AB8" i="71"/>
  <c r="AB56" i="72" s="1"/>
  <c r="AB7" i="71"/>
  <c r="AB55" i="72" s="1"/>
  <c r="AB6" i="71"/>
  <c r="AB54" i="72" s="1"/>
  <c r="AB5" i="71"/>
  <c r="AB53" i="72" s="1"/>
  <c r="H8" i="71"/>
  <c r="H56" i="72" s="1"/>
  <c r="H7" i="71"/>
  <c r="H55" i="72" s="1"/>
  <c r="H6" i="71"/>
  <c r="H54" i="72" s="1"/>
  <c r="H5" i="71"/>
  <c r="H53" i="72" s="1"/>
  <c r="H52" i="72" s="1"/>
  <c r="N8" i="71"/>
  <c r="N56" i="72" s="1"/>
  <c r="N7" i="71"/>
  <c r="N55" i="72" s="1"/>
  <c r="N6" i="71"/>
  <c r="N54" i="72" s="1"/>
  <c r="N5" i="71"/>
  <c r="N53" i="72" s="1"/>
  <c r="AH8" i="71"/>
  <c r="AH56" i="72" s="1"/>
  <c r="AH7" i="71"/>
  <c r="AH55" i="72" s="1"/>
  <c r="AH6" i="71"/>
  <c r="AH54" i="72" s="1"/>
  <c r="AH5" i="71"/>
  <c r="AH53" i="72" s="1"/>
  <c r="AH52" i="72" s="1"/>
  <c r="J8" i="71"/>
  <c r="J56" i="72" s="1"/>
  <c r="J7" i="71"/>
  <c r="J55" i="72" s="1"/>
  <c r="J6" i="71"/>
  <c r="J54" i="72" s="1"/>
  <c r="J5" i="71"/>
  <c r="J53" i="72" s="1"/>
  <c r="Q8" i="71"/>
  <c r="Q56" i="72" s="1"/>
  <c r="Q7" i="71"/>
  <c r="Q55" i="72" s="1"/>
  <c r="Q6" i="71"/>
  <c r="Q54" i="72" s="1"/>
  <c r="Q5" i="71"/>
  <c r="Q53" i="72" s="1"/>
  <c r="X8" i="71"/>
  <c r="X56" i="72" s="1"/>
  <c r="X7" i="71"/>
  <c r="X55" i="72" s="1"/>
  <c r="X6" i="71"/>
  <c r="X54" i="72" s="1"/>
  <c r="X5" i="71"/>
  <c r="X53" i="72" s="1"/>
  <c r="R8" i="71"/>
  <c r="R56" i="72" s="1"/>
  <c r="R7" i="71"/>
  <c r="R55" i="72" s="1"/>
  <c r="R6" i="71"/>
  <c r="R54" i="72" s="1"/>
  <c r="R5" i="71"/>
  <c r="R53" i="72" s="1"/>
  <c r="R52" i="72" s="1"/>
  <c r="AF8" i="71"/>
  <c r="AF56" i="72" s="1"/>
  <c r="AF7" i="71"/>
  <c r="AF55" i="72" s="1"/>
  <c r="AF6" i="71"/>
  <c r="AF54" i="72" s="1"/>
  <c r="AF5" i="71"/>
  <c r="AF53" i="72" s="1"/>
  <c r="S8" i="71"/>
  <c r="S56" i="72" s="1"/>
  <c r="S7" i="71"/>
  <c r="S55" i="72" s="1"/>
  <c r="S6" i="71"/>
  <c r="S54" i="72" s="1"/>
  <c r="S5" i="71"/>
  <c r="S53" i="72" s="1"/>
  <c r="S52" i="72" s="1"/>
  <c r="AA8" i="71"/>
  <c r="AA56" i="72" s="1"/>
  <c r="AA7" i="71"/>
  <c r="AA55" i="72" s="1"/>
  <c r="AA6" i="71"/>
  <c r="AA54" i="72" s="1"/>
  <c r="AA5" i="71"/>
  <c r="AA53" i="72" s="1"/>
  <c r="AG8" i="71"/>
  <c r="AG56" i="72" s="1"/>
  <c r="AG7" i="71"/>
  <c r="AG55" i="72" s="1"/>
  <c r="AG6" i="71"/>
  <c r="AG54" i="72" s="1"/>
  <c r="AG5" i="71"/>
  <c r="AG53" i="72" s="1"/>
  <c r="E51" i="71"/>
  <c r="AK51" i="71"/>
  <c r="AI9" i="71"/>
  <c r="AI13" i="71" s="1"/>
  <c r="AI31" i="71" s="1"/>
  <c r="AL30" i="71"/>
  <c r="F30" i="71"/>
  <c r="D41" i="86"/>
  <c r="D41" i="87"/>
  <c r="AM30" i="42"/>
  <c r="D44" i="54"/>
  <c r="AG36" i="42"/>
  <c r="AF36" i="42"/>
  <c r="O36" i="42"/>
  <c r="D38" i="46"/>
  <c r="AN6" i="42"/>
  <c r="AN7" i="42" s="1"/>
  <c r="AI28" i="42"/>
  <c r="E52" i="54"/>
  <c r="C52" i="54" s="1"/>
  <c r="AF52" i="72" l="1"/>
  <c r="J52" i="72"/>
  <c r="AB52" i="72"/>
  <c r="O52" i="72"/>
  <c r="AD52" i="72"/>
  <c r="AE52" i="72"/>
  <c r="Z52" i="72"/>
  <c r="G52" i="72"/>
  <c r="P52" i="72"/>
  <c r="K52" i="72"/>
  <c r="M52" i="72"/>
  <c r="I52" i="72"/>
  <c r="Q52" i="72"/>
  <c r="Y52" i="72"/>
  <c r="AG52" i="72"/>
  <c r="T52" i="72"/>
  <c r="AJ52" i="72"/>
  <c r="AA52" i="72"/>
  <c r="X52" i="72"/>
  <c r="N52" i="72"/>
  <c r="V52" i="72"/>
  <c r="L52" i="72"/>
  <c r="U52" i="72"/>
  <c r="W52" i="72"/>
  <c r="C24" i="94"/>
  <c r="AK8" i="71"/>
  <c r="AK56" i="72" s="1"/>
  <c r="AK7" i="71"/>
  <c r="AK55" i="72" s="1"/>
  <c r="AK6" i="71"/>
  <c r="AK54" i="72" s="1"/>
  <c r="AK5" i="71"/>
  <c r="AK53" i="72" s="1"/>
  <c r="E8" i="71"/>
  <c r="E56" i="72" s="1"/>
  <c r="E7" i="71"/>
  <c r="E55" i="72" s="1"/>
  <c r="E6" i="71"/>
  <c r="E54" i="72" s="1"/>
  <c r="E5" i="71"/>
  <c r="E53" i="72" s="1"/>
  <c r="F51" i="71"/>
  <c r="AL51" i="71"/>
  <c r="K9" i="71"/>
  <c r="K13" i="71" s="1"/>
  <c r="K31" i="71" s="1"/>
  <c r="AG9" i="71"/>
  <c r="AG13" i="71" s="1"/>
  <c r="AG31" i="71" s="1"/>
  <c r="X9" i="71"/>
  <c r="X13" i="71" s="1"/>
  <c r="X31" i="71" s="1"/>
  <c r="M9" i="71"/>
  <c r="M13" i="71" s="1"/>
  <c r="M31" i="71" s="1"/>
  <c r="O9" i="71"/>
  <c r="O13" i="71" s="1"/>
  <c r="O31" i="71" s="1"/>
  <c r="N9" i="71"/>
  <c r="N13" i="71" s="1"/>
  <c r="N31" i="71" s="1"/>
  <c r="Z9" i="71"/>
  <c r="Z13" i="71" s="1"/>
  <c r="Z31" i="71" s="1"/>
  <c r="AJ9" i="71"/>
  <c r="AJ13" i="71" s="1"/>
  <c r="AJ31" i="71" s="1"/>
  <c r="R9" i="71"/>
  <c r="R13" i="71" s="1"/>
  <c r="R31" i="71" s="1"/>
  <c r="AA9" i="71"/>
  <c r="AA13" i="71" s="1"/>
  <c r="AA31" i="71" s="1"/>
  <c r="AC9" i="71"/>
  <c r="AC13" i="71" s="1"/>
  <c r="AC31" i="71" s="1"/>
  <c r="P9" i="71"/>
  <c r="P13" i="71" s="1"/>
  <c r="P31" i="71" s="1"/>
  <c r="V9" i="71"/>
  <c r="V13" i="71" s="1"/>
  <c r="V31" i="71" s="1"/>
  <c r="W9" i="71"/>
  <c r="W13" i="71" s="1"/>
  <c r="W31" i="71" s="1"/>
  <c r="AE9" i="71"/>
  <c r="AE13" i="71" s="1"/>
  <c r="AE31" i="71" s="1"/>
  <c r="U9" i="71"/>
  <c r="U13" i="71" s="1"/>
  <c r="U31" i="71" s="1"/>
  <c r="G9" i="71"/>
  <c r="G13" i="71" s="1"/>
  <c r="G31" i="71" s="1"/>
  <c r="AB9" i="71"/>
  <c r="AB13" i="71" s="1"/>
  <c r="AB31" i="71" s="1"/>
  <c r="L9" i="71"/>
  <c r="L13" i="71" s="1"/>
  <c r="L31" i="71" s="1"/>
  <c r="AF9" i="71"/>
  <c r="AF13" i="71" s="1"/>
  <c r="AF31" i="71" s="1"/>
  <c r="AH9" i="71"/>
  <c r="AH13" i="71" s="1"/>
  <c r="AH31" i="71" s="1"/>
  <c r="Q9" i="71"/>
  <c r="Q13" i="71" s="1"/>
  <c r="Q31" i="71" s="1"/>
  <c r="J9" i="71"/>
  <c r="J13" i="71" s="1"/>
  <c r="J31" i="71" s="1"/>
  <c r="Y9" i="71"/>
  <c r="Y13" i="71" s="1"/>
  <c r="Y31" i="71" s="1"/>
  <c r="I9" i="71"/>
  <c r="I13" i="71" s="1"/>
  <c r="I31" i="71" s="1"/>
  <c r="S9" i="71"/>
  <c r="S13" i="71" s="1"/>
  <c r="S31" i="71" s="1"/>
  <c r="AD9" i="71"/>
  <c r="AD13" i="71" s="1"/>
  <c r="AD31" i="71" s="1"/>
  <c r="H9" i="71"/>
  <c r="H13" i="71" s="1"/>
  <c r="H31" i="71" s="1"/>
  <c r="T9" i="71"/>
  <c r="T13" i="71" s="1"/>
  <c r="T31" i="71" s="1"/>
  <c r="D42" i="86"/>
  <c r="D42" i="87"/>
  <c r="AM28" i="71"/>
  <c r="AM29" i="71" s="1"/>
  <c r="AI31" i="42"/>
  <c r="AI35" i="42" s="1"/>
  <c r="AM29" i="42"/>
  <c r="D45" i="54"/>
  <c r="J36" i="42"/>
  <c r="M36" i="42"/>
  <c r="AA36" i="42"/>
  <c r="V36" i="42"/>
  <c r="F36" i="42"/>
  <c r="P36" i="42"/>
  <c r="Q36" i="42"/>
  <c r="W36" i="42"/>
  <c r="AH36" i="42"/>
  <c r="AE36" i="42"/>
  <c r="E36" i="42"/>
  <c r="S36" i="42"/>
  <c r="N36" i="42"/>
  <c r="AB36" i="42"/>
  <c r="R36" i="42"/>
  <c r="K36" i="42"/>
  <c r="H36" i="42"/>
  <c r="U36" i="42"/>
  <c r="I36" i="42"/>
  <c r="X36" i="42"/>
  <c r="Z36" i="42"/>
  <c r="AD36" i="42"/>
  <c r="AC36" i="42"/>
  <c r="G36" i="42"/>
  <c r="Y36" i="42"/>
  <c r="L36" i="42"/>
  <c r="T36" i="42"/>
  <c r="D39" i="46"/>
  <c r="AO6" i="42"/>
  <c r="AO7" i="42" s="1"/>
  <c r="AJ28" i="42"/>
  <c r="AJ31" i="42" s="1"/>
  <c r="AJ35" i="42" s="1"/>
  <c r="E52" i="72" l="1"/>
  <c r="AK52" i="72"/>
  <c r="AL8" i="71"/>
  <c r="AL56" i="72" s="1"/>
  <c r="AL7" i="71"/>
  <c r="AL55" i="72" s="1"/>
  <c r="AL6" i="71"/>
  <c r="AL54" i="72" s="1"/>
  <c r="AL5" i="71"/>
  <c r="AL53" i="72" s="1"/>
  <c r="F8" i="71"/>
  <c r="F56" i="72" s="1"/>
  <c r="F7" i="71"/>
  <c r="F55" i="72" s="1"/>
  <c r="F6" i="71"/>
  <c r="F54" i="72" s="1"/>
  <c r="F5" i="71"/>
  <c r="F53" i="72" s="1"/>
  <c r="AK9" i="71"/>
  <c r="AK13" i="71" s="1"/>
  <c r="AK31" i="71" s="1"/>
  <c r="E9" i="71"/>
  <c r="E13" i="71" s="1"/>
  <c r="E31" i="71" s="1"/>
  <c r="AM30" i="71"/>
  <c r="D43" i="87"/>
  <c r="AN28" i="71"/>
  <c r="AN29" i="71" s="1"/>
  <c r="AI36" i="42"/>
  <c r="D43" i="86"/>
  <c r="AN30" i="42"/>
  <c r="AN29" i="42"/>
  <c r="D46" i="54"/>
  <c r="D40" i="46"/>
  <c r="AP6" i="42"/>
  <c r="AP7" i="42" s="1"/>
  <c r="AK28" i="42"/>
  <c r="AK31" i="42" s="1"/>
  <c r="AK35" i="42" s="1"/>
  <c r="AL52" i="72" l="1"/>
  <c r="F52" i="72"/>
  <c r="AM51" i="71"/>
  <c r="AL9" i="71"/>
  <c r="AL13" i="71" s="1"/>
  <c r="AL31" i="71" s="1"/>
  <c r="F9" i="71"/>
  <c r="F13" i="71" s="1"/>
  <c r="F31" i="71" s="1"/>
  <c r="AN30" i="71"/>
  <c r="D44" i="87"/>
  <c r="AO28" i="71"/>
  <c r="AO29" i="71" s="1"/>
  <c r="D44" i="86"/>
  <c r="AO30" i="42"/>
  <c r="AO29" i="42"/>
  <c r="D47" i="54"/>
  <c r="AJ36" i="42"/>
  <c r="D41" i="46"/>
  <c r="AQ6" i="42"/>
  <c r="AQ7" i="42" s="1"/>
  <c r="AL28" i="42"/>
  <c r="AL31" i="42" s="1"/>
  <c r="AL35" i="42" s="1"/>
  <c r="AM8" i="71" l="1"/>
  <c r="AM56" i="72" s="1"/>
  <c r="AM7" i="71"/>
  <c r="AM55" i="72" s="1"/>
  <c r="AM6" i="71"/>
  <c r="AM54" i="72" s="1"/>
  <c r="AM5" i="71"/>
  <c r="AM53" i="72" s="1"/>
  <c r="AN51" i="71"/>
  <c r="AO30" i="71"/>
  <c r="D45" i="87"/>
  <c r="AP28" i="71"/>
  <c r="AP29" i="71" s="1"/>
  <c r="D45" i="86"/>
  <c r="AP30" i="42"/>
  <c r="AP29" i="42"/>
  <c r="D48" i="54"/>
  <c r="AK36" i="42"/>
  <c r="D42" i="46"/>
  <c r="AR6" i="42"/>
  <c r="AR7" i="42" s="1"/>
  <c r="AM28" i="42"/>
  <c r="AM31" i="42" s="1"/>
  <c r="AM35" i="42" s="1"/>
  <c r="AM52" i="72" l="1"/>
  <c r="AN8" i="71"/>
  <c r="AN56" i="72" s="1"/>
  <c r="AN7" i="71"/>
  <c r="AN55" i="72" s="1"/>
  <c r="AN6" i="71"/>
  <c r="AN54" i="72" s="1"/>
  <c r="AN5" i="71"/>
  <c r="AN53" i="72" s="1"/>
  <c r="AO51" i="71"/>
  <c r="AM9" i="71"/>
  <c r="AM13" i="71" s="1"/>
  <c r="AM31" i="71" s="1"/>
  <c r="AN9" i="71"/>
  <c r="AN13" i="71" s="1"/>
  <c r="AN31" i="71" s="1"/>
  <c r="AP30" i="71"/>
  <c r="D46" i="87"/>
  <c r="AQ28" i="71"/>
  <c r="AQ29" i="71" s="1"/>
  <c r="D46" i="86"/>
  <c r="AQ30" i="42"/>
  <c r="AQ29" i="42"/>
  <c r="D49" i="54"/>
  <c r="AL36" i="42"/>
  <c r="D43" i="46"/>
  <c r="AS6" i="42"/>
  <c r="AS7" i="42" s="1"/>
  <c r="AN28" i="42"/>
  <c r="AN31" i="42" s="1"/>
  <c r="AN35" i="42" s="1"/>
  <c r="AN52" i="72" l="1"/>
  <c r="AO8" i="71"/>
  <c r="AO56" i="72" s="1"/>
  <c r="AO7" i="71"/>
  <c r="AO55" i="72" s="1"/>
  <c r="AO6" i="71"/>
  <c r="AO54" i="72" s="1"/>
  <c r="AO5" i="71"/>
  <c r="AO53" i="72" s="1"/>
  <c r="AP51" i="71"/>
  <c r="AQ30" i="71"/>
  <c r="D47" i="87"/>
  <c r="AR28" i="71"/>
  <c r="AR29" i="71" s="1"/>
  <c r="D47" i="86"/>
  <c r="AR30" i="42"/>
  <c r="AR29" i="42"/>
  <c r="D50" i="54"/>
  <c r="AM36" i="42"/>
  <c r="D44" i="46"/>
  <c r="AT6" i="42"/>
  <c r="AT7" i="42" s="1"/>
  <c r="AO28" i="42"/>
  <c r="AO31" i="42" s="1"/>
  <c r="AO35" i="42" s="1"/>
  <c r="AO52" i="72" l="1"/>
  <c r="AP8" i="71"/>
  <c r="AP56" i="72" s="1"/>
  <c r="AP7" i="71"/>
  <c r="AP55" i="72" s="1"/>
  <c r="AP6" i="71"/>
  <c r="AP54" i="72" s="1"/>
  <c r="AP5" i="71"/>
  <c r="AP53" i="72" s="1"/>
  <c r="AQ51" i="71"/>
  <c r="AO9" i="71"/>
  <c r="AO13" i="71" s="1"/>
  <c r="AO31" i="71" s="1"/>
  <c r="AR30" i="71"/>
  <c r="D48" i="87"/>
  <c r="AS28" i="71"/>
  <c r="AS29" i="71" s="1"/>
  <c r="D48" i="86"/>
  <c r="AS30" i="42"/>
  <c r="AS29" i="42"/>
  <c r="D51" i="54"/>
  <c r="AN36" i="42"/>
  <c r="D45" i="46"/>
  <c r="AU6" i="42"/>
  <c r="AU7" i="42" s="1"/>
  <c r="D14" i="72" s="1" a="1"/>
  <c r="AP28" i="42"/>
  <c r="AP31" i="42" s="1"/>
  <c r="AP35" i="42" s="1"/>
  <c r="AP52" i="72" l="1"/>
  <c r="AQ8" i="71"/>
  <c r="AQ56" i="72" s="1"/>
  <c r="AQ7" i="71"/>
  <c r="AQ55" i="72" s="1"/>
  <c r="AQ6" i="71"/>
  <c r="AQ54" i="72" s="1"/>
  <c r="AQ5" i="71"/>
  <c r="AQ53" i="72" s="1"/>
  <c r="AR51" i="71"/>
  <c r="D14" i="72"/>
  <c r="AP9" i="71"/>
  <c r="AP13" i="71" s="1"/>
  <c r="AP31" i="71" s="1"/>
  <c r="AS30" i="71"/>
  <c r="D49" i="87"/>
  <c r="AT28" i="71"/>
  <c r="AT29" i="71" s="1"/>
  <c r="D49" i="86"/>
  <c r="AT30" i="42"/>
  <c r="AU28" i="71"/>
  <c r="AU29" i="71" s="1"/>
  <c r="AO36" i="42"/>
  <c r="AT29" i="42"/>
  <c r="D46" i="46"/>
  <c r="D52" i="54"/>
  <c r="D53" i="54" s="1"/>
  <c r="AU29" i="42"/>
  <c r="AQ28" i="42"/>
  <c r="AQ31" i="42" s="1"/>
  <c r="AQ35" i="42" s="1"/>
  <c r="AQ9" i="71" l="1"/>
  <c r="AQ13" i="71" s="1"/>
  <c r="AQ31" i="71" s="1"/>
  <c r="AQ52" i="72"/>
  <c r="AR8" i="71"/>
  <c r="AR56" i="72" s="1"/>
  <c r="AR7" i="71"/>
  <c r="AR55" i="72" s="1"/>
  <c r="AR6" i="71"/>
  <c r="AR54" i="72" s="1"/>
  <c r="AR5" i="71"/>
  <c r="AR53" i="72" s="1"/>
  <c r="AS51" i="71"/>
  <c r="AT30" i="71"/>
  <c r="AU30" i="71"/>
  <c r="D50" i="87"/>
  <c r="G22" i="87" s="1"/>
  <c r="D50" i="86"/>
  <c r="G22" i="86" s="1"/>
  <c r="AU30" i="42"/>
  <c r="AP36" i="42"/>
  <c r="D47" i="46"/>
  <c r="AR28" i="42"/>
  <c r="AR31" i="42" s="1"/>
  <c r="AR35" i="42" s="1"/>
  <c r="AR52" i="72" l="1"/>
  <c r="AS8" i="71"/>
  <c r="AS56" i="72" s="1"/>
  <c r="AS7" i="71"/>
  <c r="AS55" i="72" s="1"/>
  <c r="AS6" i="71"/>
  <c r="AS54" i="72" s="1"/>
  <c r="AS5" i="71"/>
  <c r="AS53" i="72" s="1"/>
  <c r="AU51" i="71"/>
  <c r="AT51" i="71"/>
  <c r="D40" i="72" a="1"/>
  <c r="D40" i="72" s="1"/>
  <c r="AR9" i="71"/>
  <c r="AR13" i="71" s="1"/>
  <c r="AR31" i="71" s="1"/>
  <c r="AQ36" i="42"/>
  <c r="D48" i="46"/>
  <c r="D54" i="54"/>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AS28" i="42"/>
  <c r="AS52" i="72" l="1"/>
  <c r="C25" i="94"/>
  <c r="C26" i="94"/>
  <c r="AT8" i="71"/>
  <c r="AT56" i="72" s="1"/>
  <c r="AT7" i="71"/>
  <c r="AT55" i="72" s="1"/>
  <c r="AT6" i="71"/>
  <c r="AT54" i="72" s="1"/>
  <c r="AT5" i="71"/>
  <c r="AT53" i="72" s="1"/>
  <c r="AU8" i="71"/>
  <c r="AU56" i="72" s="1"/>
  <c r="AU7" i="71"/>
  <c r="AU55" i="72" s="1"/>
  <c r="AU6" i="71"/>
  <c r="AU54" i="72" s="1"/>
  <c r="AU5" i="71"/>
  <c r="AU53" i="72" s="1"/>
  <c r="AS9" i="71"/>
  <c r="AS13" i="71" s="1"/>
  <c r="AS31" i="71" s="1"/>
  <c r="AS31" i="42"/>
  <c r="AS35" i="42" s="1"/>
  <c r="G17" i="54"/>
  <c r="AR36" i="42"/>
  <c r="D49" i="46"/>
  <c r="D50" i="46" s="1"/>
  <c r="AT28" i="42"/>
  <c r="AT31" i="42" s="1"/>
  <c r="AT35" i="42" s="1"/>
  <c r="AT52" i="72" l="1"/>
  <c r="AU52" i="72"/>
  <c r="AU9" i="71"/>
  <c r="AU13" i="71" s="1"/>
  <c r="AU31" i="71" s="1"/>
  <c r="AT9" i="71"/>
  <c r="AS36" i="42"/>
  <c r="AU28" i="42"/>
  <c r="AU31" i="42" s="1"/>
  <c r="AU35" i="42" s="1"/>
  <c r="AT13" i="71" l="1"/>
  <c r="AT31" i="71" s="1"/>
  <c r="AT36" i="42"/>
  <c r="D39" i="72" a="1"/>
  <c r="G22" i="46"/>
  <c r="D39" i="72" l="1"/>
  <c r="D16" i="72" s="1"/>
  <c r="E16" i="72"/>
  <c r="D15" i="72" a="1"/>
  <c r="AT5" i="72" s="1"/>
  <c r="AU36" i="42"/>
  <c r="F16" i="72"/>
  <c r="P5" i="72" l="1"/>
  <c r="AI5" i="72"/>
  <c r="E5" i="72"/>
  <c r="E41" i="72" s="1"/>
  <c r="U5" i="72"/>
  <c r="R5" i="72"/>
  <c r="F5" i="72"/>
  <c r="F41" i="72" s="1"/>
  <c r="Z5" i="72"/>
  <c r="N5" i="72"/>
  <c r="AM5" i="72"/>
  <c r="AU5" i="72"/>
  <c r="Y5" i="72"/>
  <c r="AO5" i="72"/>
  <c r="AA5" i="72"/>
  <c r="AB5" i="72"/>
  <c r="AS5" i="72"/>
  <c r="AH5" i="72"/>
  <c r="X5" i="72"/>
  <c r="AE5" i="72"/>
  <c r="S5" i="72"/>
  <c r="AQ5" i="72"/>
  <c r="V5" i="72"/>
  <c r="AR5" i="72"/>
  <c r="O5" i="72"/>
  <c r="AJ5" i="72"/>
  <c r="G5" i="72"/>
  <c r="T5" i="72"/>
  <c r="AN5" i="72"/>
  <c r="AG5" i="72"/>
  <c r="AD5" i="72"/>
  <c r="AP5" i="72"/>
  <c r="D15" i="72"/>
  <c r="D5" i="72" s="1"/>
  <c r="D41" i="72" s="1"/>
  <c r="W5" i="72"/>
  <c r="AL5" i="72"/>
  <c r="M5" i="72"/>
  <c r="K5" i="72"/>
  <c r="H5" i="72"/>
  <c r="AF5" i="72"/>
  <c r="J5" i="72"/>
  <c r="Q5" i="72"/>
  <c r="AK5" i="72"/>
  <c r="I5" i="72"/>
  <c r="L5" i="72"/>
  <c r="AC5" i="72"/>
  <c r="D42" i="72" l="1"/>
  <c r="E4" i="72" s="1"/>
  <c r="E42" i="72" s="1"/>
  <c r="F4" i="72" s="1"/>
  <c r="F42" i="72" s="1"/>
  <c r="G16" i="72"/>
  <c r="F44" i="72" s="1"/>
  <c r="F43" i="72" l="1"/>
  <c r="G4" i="72"/>
  <c r="G41" i="72"/>
  <c r="H16" i="72"/>
  <c r="G44" i="72" s="1"/>
  <c r="G42" i="72" l="1"/>
  <c r="H4" i="72" s="1"/>
  <c r="H41" i="72"/>
  <c r="I16" i="72"/>
  <c r="H44" i="72" s="1"/>
  <c r="G43" i="72" l="1"/>
  <c r="H42" i="72"/>
  <c r="I4" i="72" s="1"/>
  <c r="I41" i="72"/>
  <c r="J16" i="72"/>
  <c r="I44" i="72" s="1"/>
  <c r="H43" i="72" l="1"/>
  <c r="I42" i="72"/>
  <c r="J4" i="72" s="1"/>
  <c r="J41" i="72"/>
  <c r="K16" i="72"/>
  <c r="J44" i="72" s="1"/>
  <c r="I43" i="72" l="1"/>
  <c r="J42" i="72"/>
  <c r="K4" i="72" s="1"/>
  <c r="K41" i="72"/>
  <c r="L16" i="72"/>
  <c r="K44" i="72" s="1"/>
  <c r="J43" i="72" l="1"/>
  <c r="K42" i="72"/>
  <c r="L4" i="72" s="1"/>
  <c r="L41" i="72"/>
  <c r="M16" i="72"/>
  <c r="L44" i="72" s="1"/>
  <c r="K43" i="72" l="1"/>
  <c r="L42" i="72"/>
  <c r="M4" i="72" s="1"/>
  <c r="M41" i="72"/>
  <c r="N16" i="72"/>
  <c r="M44" i="72" s="1"/>
  <c r="L43" i="72" l="1"/>
  <c r="M42" i="72"/>
  <c r="N4" i="72" s="1"/>
  <c r="N41" i="72"/>
  <c r="O16" i="72"/>
  <c r="N44" i="72" s="1"/>
  <c r="M43" i="72" l="1"/>
  <c r="N42" i="72"/>
  <c r="O4" i="72" s="1"/>
  <c r="O41" i="72"/>
  <c r="P16" i="72"/>
  <c r="O44" i="72" s="1"/>
  <c r="N43" i="72" l="1"/>
  <c r="O42" i="72"/>
  <c r="P4" i="72" s="1"/>
  <c r="P41" i="72"/>
  <c r="Q16" i="72"/>
  <c r="P44" i="72" s="1"/>
  <c r="O43" i="72" l="1"/>
  <c r="P42" i="72"/>
  <c r="Q4" i="72" s="1"/>
  <c r="Q41" i="72"/>
  <c r="R16" i="72"/>
  <c r="Q44" i="72" s="1"/>
  <c r="P43" i="72" l="1"/>
  <c r="Q42" i="72"/>
  <c r="R4" i="72" s="1"/>
  <c r="R41" i="72"/>
  <c r="S16" i="72"/>
  <c r="R44" i="72" s="1"/>
  <c r="Q43" i="72" l="1"/>
  <c r="R42" i="72"/>
  <c r="S4" i="72" s="1"/>
  <c r="S41" i="72"/>
  <c r="T16" i="72"/>
  <c r="S44" i="72" s="1"/>
  <c r="R43" i="72" l="1"/>
  <c r="S42" i="72"/>
  <c r="T4" i="72" s="1"/>
  <c r="T41" i="72"/>
  <c r="U16" i="72"/>
  <c r="T44" i="72" s="1"/>
  <c r="S43" i="72" l="1"/>
  <c r="T42" i="72"/>
  <c r="U4" i="72" s="1"/>
  <c r="U41" i="72"/>
  <c r="V16" i="72"/>
  <c r="U44" i="72" s="1"/>
  <c r="T43" i="72" l="1"/>
  <c r="U42" i="72"/>
  <c r="V4" i="72" s="1"/>
  <c r="V41" i="72"/>
  <c r="W16" i="72"/>
  <c r="V44" i="72" s="1"/>
  <c r="U43" i="72" l="1"/>
  <c r="V42" i="72"/>
  <c r="W4" i="72" s="1"/>
  <c r="W41" i="72"/>
  <c r="X16" i="72"/>
  <c r="W44" i="72" s="1"/>
  <c r="V43" i="72" l="1"/>
  <c r="W42" i="72"/>
  <c r="X4" i="72" s="1"/>
  <c r="X41" i="72"/>
  <c r="Y16" i="72"/>
  <c r="X44" i="72" s="1"/>
  <c r="W43" i="72" l="1"/>
  <c r="X42" i="72"/>
  <c r="Y4" i="72" s="1"/>
  <c r="Y41" i="72"/>
  <c r="Z16" i="72"/>
  <c r="Y44" i="72" s="1"/>
  <c r="X43" i="72" l="1"/>
  <c r="Y42" i="72"/>
  <c r="Z4" i="72" s="1"/>
  <c r="Z41" i="72"/>
  <c r="AA16" i="72"/>
  <c r="Z44" i="72" s="1"/>
  <c r="Y43" i="72" l="1"/>
  <c r="Z42" i="72"/>
  <c r="AA4" i="72" s="1"/>
  <c r="AA41" i="72"/>
  <c r="AB16" i="72"/>
  <c r="AA44" i="72" s="1"/>
  <c r="Z43" i="72" l="1"/>
  <c r="AA42" i="72"/>
  <c r="AB4" i="72" s="1"/>
  <c r="AB41" i="72"/>
  <c r="AC16" i="72"/>
  <c r="AB44" i="72" s="1"/>
  <c r="AA43" i="72" l="1"/>
  <c r="AB42" i="72"/>
  <c r="AC4" i="72" s="1"/>
  <c r="AC41" i="72"/>
  <c r="AD16" i="72"/>
  <c r="AC44" i="72" s="1"/>
  <c r="AB43" i="72" l="1"/>
  <c r="AC42" i="72"/>
  <c r="AD4" i="72" s="1"/>
  <c r="AD41" i="72"/>
  <c r="AE16" i="72"/>
  <c r="AD44" i="72" s="1"/>
  <c r="AC43" i="72" l="1"/>
  <c r="AD42" i="72"/>
  <c r="AE4" i="72" s="1"/>
  <c r="AE41" i="72"/>
  <c r="AF16" i="72"/>
  <c r="AE44" i="72" s="1"/>
  <c r="AD43" i="72" l="1"/>
  <c r="AE42" i="72"/>
  <c r="AF4" i="72" s="1"/>
  <c r="AF41" i="72"/>
  <c r="AG16" i="72"/>
  <c r="AF44" i="72" s="1"/>
  <c r="AE43" i="72" l="1"/>
  <c r="AF42" i="72"/>
  <c r="AG4" i="72" s="1"/>
  <c r="AG41" i="72"/>
  <c r="AH16" i="72"/>
  <c r="AG44" i="72" s="1"/>
  <c r="AF43" i="72" l="1"/>
  <c r="AG42" i="72"/>
  <c r="AH4" i="72" s="1"/>
  <c r="AH41" i="72"/>
  <c r="AI16" i="72"/>
  <c r="AH44" i="72" s="1"/>
  <c r="AG43" i="72" l="1"/>
  <c r="AH42" i="72"/>
  <c r="AI4" i="72" s="1"/>
  <c r="AI41" i="72"/>
  <c r="AJ16" i="72"/>
  <c r="AI44" i="72" s="1"/>
  <c r="AH43" i="72" l="1"/>
  <c r="AI42" i="72"/>
  <c r="AJ4" i="72" s="1"/>
  <c r="AJ41" i="72"/>
  <c r="AK16" i="72"/>
  <c r="AJ44" i="72" s="1"/>
  <c r="AI43" i="72" l="1"/>
  <c r="AJ42" i="72"/>
  <c r="AK4" i="72" s="1"/>
  <c r="AK41" i="72"/>
  <c r="AL16" i="72"/>
  <c r="AK44" i="72" s="1"/>
  <c r="AK42" i="72" l="1"/>
  <c r="AL4" i="72" s="1"/>
  <c r="AJ43" i="72"/>
  <c r="AL41" i="72"/>
  <c r="AM16" i="72"/>
  <c r="AL44" i="72" s="1"/>
  <c r="AK43" i="72" l="1"/>
  <c r="AL42" i="72"/>
  <c r="AM4" i="72" s="1"/>
  <c r="AM41" i="72"/>
  <c r="AN16" i="72"/>
  <c r="AM44" i="72" s="1"/>
  <c r="AL43" i="72" l="1"/>
  <c r="AM42" i="72"/>
  <c r="AN4" i="72" s="1"/>
  <c r="AN41" i="72"/>
  <c r="AO16" i="72"/>
  <c r="AN44" i="72" s="1"/>
  <c r="AM43" i="72" l="1"/>
  <c r="AN42" i="72"/>
  <c r="AO4" i="72" s="1"/>
  <c r="AO41" i="72"/>
  <c r="AP16" i="72"/>
  <c r="AO44" i="72" s="1"/>
  <c r="AO42" i="72" l="1"/>
  <c r="AO43" i="72" s="1"/>
  <c r="AN43" i="72"/>
  <c r="AP41" i="72"/>
  <c r="AQ16" i="72"/>
  <c r="AP44" i="72" s="1"/>
  <c r="AP4" i="72" l="1"/>
  <c r="AP42" i="72" s="1"/>
  <c r="AQ41" i="72"/>
  <c r="AR16" i="72"/>
  <c r="AQ44" i="72" s="1"/>
  <c r="AP43" i="72" l="1"/>
  <c r="AQ4" i="72"/>
  <c r="AQ42" i="72" s="1"/>
  <c r="AR41" i="72"/>
  <c r="AS16" i="72"/>
  <c r="AR44" i="72" s="1"/>
  <c r="AR4" i="72" l="1"/>
  <c r="AR42" i="72" s="1"/>
  <c r="AS4" i="72" s="1"/>
  <c r="AQ43" i="72"/>
  <c r="AS41" i="72"/>
  <c r="AT16" i="72"/>
  <c r="AS44" i="72" s="1"/>
  <c r="AR43" i="72" l="1"/>
  <c r="AS42" i="72"/>
  <c r="AT4" i="72" s="1"/>
  <c r="AT41" i="72"/>
  <c r="AU16" i="72"/>
  <c r="AT44" i="72" s="1"/>
  <c r="AS43" i="72" l="1"/>
  <c r="AT42" i="72"/>
  <c r="AU41" i="72"/>
  <c r="AT43" i="72" l="1"/>
  <c r="AU43" i="72"/>
  <c r="AU4" i="72"/>
  <c r="AU42" i="72" s="1"/>
  <c r="A215" i="7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F12" authorId="0" shapeId="0" xr:uid="{396E24D7-020F-47AD-8AE4-F5D542860E8B}">
      <text>
        <r>
          <rPr>
            <b/>
            <sz val="9"/>
            <color indexed="81"/>
            <rFont val="Tahoma"/>
            <family val="2"/>
          </rPr>
          <t>Duncan Breedlove:</t>
        </r>
        <r>
          <rPr>
            <sz val="9"/>
            <color indexed="81"/>
            <rFont val="Tahoma"/>
            <family val="2"/>
          </rPr>
          <t xml:space="preserve">
This rate is what it "was" with the previous reduction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F8" authorId="0" shapeId="0" xr:uid="{5B05BE6A-B35C-48B1-A6F9-132DC86904A6}">
      <text>
        <r>
          <rPr>
            <b/>
            <sz val="9"/>
            <color indexed="81"/>
            <rFont val="Tahoma"/>
            <family val="2"/>
          </rPr>
          <t>Duncan Breedlove:</t>
        </r>
        <r>
          <rPr>
            <sz val="9"/>
            <color indexed="81"/>
            <rFont val="Tahoma"/>
            <family val="2"/>
          </rPr>
          <t xml:space="preserve">
Term loan signed Oct 15, 2024</t>
        </r>
      </text>
    </comment>
    <comment ref="C37" authorId="0" shapeId="0" xr:uid="{A04E4C5C-EBF2-4B25-96C5-E5848B82CBC8}">
      <text>
        <r>
          <rPr>
            <b/>
            <sz val="9"/>
            <color indexed="81"/>
            <rFont val="Tahoma"/>
            <family val="2"/>
          </rPr>
          <t>Duncan Breedlove:</t>
        </r>
        <r>
          <rPr>
            <sz val="9"/>
            <color indexed="81"/>
            <rFont val="Tahoma"/>
            <family val="2"/>
          </rPr>
          <t xml:space="preserve">
$1.5MM in ARPA funds will be used in 2023. See tab "Eligible ARPA Expenses" for a list. This line adds an expense of $1.5MM in 2023 to perform eligible expenses and reduces that same amount in 2024, as a wash. It doesn't increase the price of anything, just redistributes expenses for timing of expenses.</t>
        </r>
      </text>
    </comment>
    <comment ref="C52" authorId="0" shapeId="0" xr:uid="{EBD5F90D-0EDF-4F87-93CB-89F941296E59}">
      <text>
        <r>
          <rPr>
            <b/>
            <sz val="9"/>
            <color indexed="81"/>
            <rFont val="Tahoma"/>
            <family val="2"/>
          </rPr>
          <t>Duncan Breedlove:</t>
        </r>
        <r>
          <rPr>
            <sz val="9"/>
            <color indexed="81"/>
            <rFont val="Tahoma"/>
            <family val="2"/>
          </rPr>
          <t xml:space="preserve">
Note that the sum of hauling revenues does not equal the sum of revenues as shown above. The revenues shown here are strickly County Fees and do not include the "revenues" from the landfill hauling subsidy</t>
        </r>
      </text>
    </comment>
    <comment ref="A215" authorId="0" shapeId="0" xr:uid="{DBD86D6D-F8BA-443F-8AD0-D45FBE903EFE}">
      <text>
        <r>
          <rPr>
            <b/>
            <sz val="9"/>
            <color indexed="81"/>
            <rFont val="Tahoma"/>
            <family val="2"/>
          </rPr>
          <t>Duncan Breedlove:</t>
        </r>
        <r>
          <rPr>
            <sz val="9"/>
            <color indexed="81"/>
            <rFont val="Tahoma"/>
            <family val="2"/>
          </rPr>
          <t xml:space="preserve">
Don't Delete. Needed for vba code "Tip_Fee"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Travis Pyle</author>
    <author>Duncan Breedlove</author>
  </authors>
  <commentList>
    <comment ref="E2" authorId="0" shapeId="0" xr:uid="{7A756692-FD00-4016-BBDE-EA033D09B6A9}">
      <text>
        <r>
          <rPr>
            <b/>
            <sz val="9"/>
            <color indexed="81"/>
            <rFont val="Tahoma"/>
            <family val="2"/>
          </rPr>
          <t>Travis Pyle:</t>
        </r>
        <r>
          <rPr>
            <sz val="9"/>
            <color indexed="81"/>
            <rFont val="Tahoma"/>
            <family val="2"/>
          </rPr>
          <t xml:space="preserve">
2 months operation in 2024</t>
        </r>
      </text>
    </comment>
    <comment ref="F2" authorId="1" shapeId="0" xr:uid="{20DE457C-BDBD-4CF8-A3FF-E5EA9627BBD7}">
      <text>
        <r>
          <rPr>
            <b/>
            <sz val="9"/>
            <color indexed="81"/>
            <rFont val="Tahoma"/>
            <family val="2"/>
          </rPr>
          <t>Duncan Breedlove:</t>
        </r>
        <r>
          <rPr>
            <sz val="9"/>
            <color indexed="81"/>
            <rFont val="Tahoma"/>
            <family val="2"/>
          </rPr>
          <t xml:space="preserve">
First full year</t>
        </r>
      </text>
    </comment>
    <comment ref="C33" authorId="1" shapeId="0" xr:uid="{2B20644D-C3B0-4E0D-8456-FA619571414C}">
      <text>
        <r>
          <rPr>
            <b/>
            <sz val="9"/>
            <color indexed="81"/>
            <rFont val="Tahoma"/>
            <family val="2"/>
          </rPr>
          <t>Duncan Breedlove:</t>
        </r>
        <r>
          <rPr>
            <sz val="9"/>
            <color indexed="81"/>
            <rFont val="Tahoma"/>
            <family val="2"/>
          </rPr>
          <t xml:space="preserve">
$2/ton, see Hauling tab for what that equates to per mile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E2" authorId="0" shapeId="0" xr:uid="{B07F66EF-6B5A-439C-82EB-670847354DB9}">
      <text>
        <r>
          <rPr>
            <b/>
            <sz val="9"/>
            <color indexed="81"/>
            <rFont val="Tahoma"/>
            <family val="2"/>
          </rPr>
          <t>Duncan Breedlove:</t>
        </r>
        <r>
          <rPr>
            <sz val="9"/>
            <color indexed="81"/>
            <rFont val="Tahoma"/>
            <family val="2"/>
          </rPr>
          <t xml:space="preserve">
2 months </t>
        </r>
      </text>
    </comment>
    <comment ref="C24" authorId="0" shapeId="0" xr:uid="{5782EF38-47A5-4DD1-95D5-AFC7FE556D85}">
      <text>
        <r>
          <rPr>
            <b/>
            <sz val="9"/>
            <color indexed="81"/>
            <rFont val="Tahoma"/>
            <family val="2"/>
          </rPr>
          <t>Duncan Breedlove:</t>
        </r>
        <r>
          <rPr>
            <sz val="9"/>
            <color indexed="81"/>
            <rFont val="Tahoma"/>
            <family val="2"/>
          </rPr>
          <t xml:space="preserve">
Assume 5 mpg and $6/gallon for diesel</t>
        </r>
      </text>
    </comment>
    <comment ref="E36" authorId="0" shapeId="0" xr:uid="{8F878DA1-8DE9-491A-9717-BF1D02F902D5}">
      <text>
        <r>
          <rPr>
            <b/>
            <sz val="9"/>
            <color indexed="81"/>
            <rFont val="Tahoma"/>
            <family val="2"/>
          </rPr>
          <t>Duncan Breedlove:</t>
        </r>
        <r>
          <rPr>
            <sz val="9"/>
            <color indexed="81"/>
            <rFont val="Tahoma"/>
            <family val="2"/>
          </rPr>
          <t xml:space="preserve">
No tons from Teton until July 1, 2025</t>
        </r>
      </text>
    </comment>
    <comment ref="F36" authorId="0" shapeId="0" xr:uid="{528F851D-491E-4344-B733-AA1344900EE5}">
      <text>
        <r>
          <rPr>
            <b/>
            <sz val="9"/>
            <color indexed="81"/>
            <rFont val="Tahoma"/>
            <family val="2"/>
          </rPr>
          <t>Duncan Breedlove:</t>
        </r>
        <r>
          <rPr>
            <sz val="9"/>
            <color indexed="81"/>
            <rFont val="Tahoma"/>
            <family val="2"/>
          </rPr>
          <t xml:space="preserve">
No tons from Teton until July 1, 2025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G2" authorId="0" shapeId="0" xr:uid="{94D843FC-0C41-44AB-A310-0B9CE3E41D0D}">
      <text>
        <r>
          <rPr>
            <b/>
            <sz val="9"/>
            <color indexed="81"/>
            <rFont val="Tahoma"/>
            <family val="2"/>
          </rPr>
          <t>Duncan Breedlove:</t>
        </r>
        <r>
          <rPr>
            <sz val="9"/>
            <color indexed="81"/>
            <rFont val="Tahoma"/>
            <family val="2"/>
          </rPr>
          <t xml:space="preserve">
Includes tires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C18" authorId="0" shapeId="0" xr:uid="{A5E669B6-00CA-4E93-B91E-E7DD0EC05FD4}">
      <text>
        <r>
          <rPr>
            <b/>
            <sz val="9"/>
            <color indexed="81"/>
            <rFont val="Tahoma"/>
            <family val="2"/>
          </rPr>
          <t>Duncan Breedlove:</t>
        </r>
        <r>
          <rPr>
            <sz val="9"/>
            <color indexed="81"/>
            <rFont val="Tahoma"/>
            <family val="2"/>
          </rPr>
          <t xml:space="preserve">
Adjusted, two months of FY 2024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Duncan Breedlove</author>
  </authors>
  <commentList>
    <comment ref="G14" authorId="0" shapeId="0" xr:uid="{F7CC2109-29B8-4792-92A5-06066137AC17}">
      <text>
        <r>
          <rPr>
            <b/>
            <sz val="9"/>
            <color indexed="81"/>
            <rFont val="Tahoma"/>
            <family val="2"/>
          </rPr>
          <t>Duncan Breedlove:</t>
        </r>
        <r>
          <rPr>
            <sz val="9"/>
            <color indexed="81"/>
            <rFont val="Tahoma"/>
            <family val="2"/>
          </rPr>
          <t xml:space="preserve">
Removed Teton</t>
        </r>
      </text>
    </comment>
    <comment ref="G15" authorId="0" shapeId="0" xr:uid="{1BF0B6F9-609C-4659-B13A-EBF3454B12BC}">
      <text>
        <r>
          <rPr>
            <b/>
            <sz val="9"/>
            <color indexed="81"/>
            <rFont val="Tahoma"/>
            <family val="2"/>
          </rPr>
          <t>Duncan Breedlove:</t>
        </r>
        <r>
          <rPr>
            <sz val="9"/>
            <color indexed="81"/>
            <rFont val="Tahoma"/>
            <family val="2"/>
          </rPr>
          <t xml:space="preserve">
Reduced Teton to 3/12 of the year because they join July 1 2025.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<sst xmlns="http://schemas.openxmlformats.org/spreadsheetml/2006/main" count="1599" uniqueCount="657">
  <si>
    <t>Beginning Cash</t>
  </si>
  <si>
    <t>Revenues</t>
  </si>
  <si>
    <t>Expenses</t>
  </si>
  <si>
    <t>Ending Balance</t>
  </si>
  <si>
    <t>TOTAL REVENUES</t>
  </si>
  <si>
    <t>Financial Forecast Model Inputs</t>
  </si>
  <si>
    <t>R1</t>
  </si>
  <si>
    <t>R2</t>
  </si>
  <si>
    <t>E1</t>
  </si>
  <si>
    <t>E2</t>
  </si>
  <si>
    <t>E3</t>
  </si>
  <si>
    <t>Office Supplies</t>
  </si>
  <si>
    <t>Insurance - Liability</t>
  </si>
  <si>
    <t>Computers</t>
  </si>
  <si>
    <t>E5</t>
  </si>
  <si>
    <t>Year</t>
  </si>
  <si>
    <t>$/ton</t>
  </si>
  <si>
    <t>Notes/Comments/Inputs</t>
  </si>
  <si>
    <t>Capital Improvements Reserve Account</t>
  </si>
  <si>
    <t>CIP Costs</t>
  </si>
  <si>
    <t xml:space="preserve"> Fund Contribution</t>
  </si>
  <si>
    <t>Funding Schedule</t>
  </si>
  <si>
    <t>Revenues - Expenses</t>
  </si>
  <si>
    <t>Vehicles and Heavy Equipment</t>
  </si>
  <si>
    <t>Utilities (Gas, Electricity, Phone, Internet, etc.)</t>
  </si>
  <si>
    <t>Legal Fees / Accounting Fees</t>
  </si>
  <si>
    <t>Building Repairs / Maintenance</t>
  </si>
  <si>
    <t>General Site Operating Expenses</t>
  </si>
  <si>
    <t>Salaries and Benefits</t>
  </si>
  <si>
    <t>Subtotal E6</t>
  </si>
  <si>
    <t>Staff Full-Time</t>
  </si>
  <si>
    <t>In-District Waste (Tons)</t>
  </si>
  <si>
    <t>In-District Waste (Tipping Fee)</t>
  </si>
  <si>
    <t>Solid Waste - Tons</t>
  </si>
  <si>
    <t>Solid Waste - Tipping Fees</t>
  </si>
  <si>
    <t>Total Waste Tons</t>
  </si>
  <si>
    <t>In-District Tipping Fee Revenues</t>
  </si>
  <si>
    <t>Solid Waste</t>
  </si>
  <si>
    <t>TOTAL EXPENSES</t>
  </si>
  <si>
    <t>Subtotal E1</t>
  </si>
  <si>
    <t>Subtotal E2</t>
  </si>
  <si>
    <t>Subtotal E3</t>
  </si>
  <si>
    <t>Subtotal R1</t>
  </si>
  <si>
    <t>Subtotal R2</t>
  </si>
  <si>
    <t>EIRSWD - Life of Landfill Forecast</t>
  </si>
  <si>
    <t>Population 2020</t>
  </si>
  <si>
    <t>Lbs/Person/Day</t>
  </si>
  <si>
    <t>Madison County</t>
  </si>
  <si>
    <t>Fremont County</t>
  </si>
  <si>
    <t>Clark County</t>
  </si>
  <si>
    <t>Madison</t>
  </si>
  <si>
    <t>Fremont</t>
  </si>
  <si>
    <t>Clark</t>
  </si>
  <si>
    <t>Teton County</t>
  </si>
  <si>
    <t>Teton</t>
  </si>
  <si>
    <t>Cell B</t>
  </si>
  <si>
    <t>Cell C</t>
  </si>
  <si>
    <t>Cell D</t>
  </si>
  <si>
    <t>Vehicle Operation</t>
  </si>
  <si>
    <t>Capital Reserve Account Fund Contribution</t>
  </si>
  <si>
    <t>Closure/Post-Closure Fund Contribution</t>
  </si>
  <si>
    <t>Land Purchase</t>
  </si>
  <si>
    <t>Inlation Rate</t>
  </si>
  <si>
    <t>--</t>
  </si>
  <si>
    <t>Construction Cost Estimate (2021$)</t>
  </si>
  <si>
    <t>Construction Year</t>
  </si>
  <si>
    <t>Construction Cost Estimate (inflated)</t>
  </si>
  <si>
    <t>Engineering Cost Estimate (inflated)</t>
  </si>
  <si>
    <t>covered by bond</t>
  </si>
  <si>
    <t>End-Year Fund Balance</t>
  </si>
  <si>
    <t xml:space="preserve"> </t>
  </si>
  <si>
    <t xml:space="preserve">EASTERN IDAHO REGIONAL SOLID WASTE DISTRICT </t>
  </si>
  <si>
    <t xml:space="preserve">Revenue Bonds, Series 2022 </t>
  </si>
  <si>
    <t/>
  </si>
  <si>
    <t xml:space="preserve">Debt Service Schedule </t>
  </si>
  <si>
    <t>Date</t>
  </si>
  <si>
    <t>Principal</t>
  </si>
  <si>
    <t>Coupon</t>
  </si>
  <si>
    <t>Interest</t>
  </si>
  <si>
    <t>Total P+I</t>
  </si>
  <si>
    <t xml:space="preserve">Yield Statistics </t>
  </si>
  <si>
    <t>Bond Year Dollars</t>
  </si>
  <si>
    <t>Average Life</t>
  </si>
  <si>
    <t>Average Coupon</t>
  </si>
  <si>
    <t>Net Interest Cost (NIC)</t>
  </si>
  <si>
    <t>True Interest Cost (TIC)</t>
  </si>
  <si>
    <t>Bond Yield for Arbitrage Purposes</t>
  </si>
  <si>
    <t>All Inclusive Cost (AIC)</t>
  </si>
  <si>
    <t xml:space="preserve">IRS Form 8038 </t>
  </si>
  <si>
    <t>Net Interest Cost</t>
  </si>
  <si>
    <t>Weighted Average Maturity</t>
  </si>
  <si>
    <t>Total Construction (inflated)</t>
  </si>
  <si>
    <t>Engineering Year</t>
  </si>
  <si>
    <t>Closure</t>
  </si>
  <si>
    <t>Costs</t>
  </si>
  <si>
    <t>Cap. Improvements Total</t>
  </si>
  <si>
    <t>Closure Totals</t>
  </si>
  <si>
    <t>Closure and Post Closure Account</t>
  </si>
  <si>
    <t>&lt;Closure Year&gt;</t>
  </si>
  <si>
    <t>Design and Permitting Cost Estimate (2021$)</t>
  </si>
  <si>
    <t>Environmental Monitoring Supplies</t>
  </si>
  <si>
    <t>Engineering / Environmental Services (Routine)</t>
  </si>
  <si>
    <t>Flare Station</t>
  </si>
  <si>
    <t>Gas Systems / Monitoring</t>
  </si>
  <si>
    <t>Future Landfill Cell</t>
  </si>
  <si>
    <t>#</t>
  </si>
  <si>
    <t>Project Name</t>
  </si>
  <si>
    <t>Only modify blue cells, the remaining cells have formulas</t>
  </si>
  <si>
    <t>Flare Station Replacement</t>
  </si>
  <si>
    <t>Instructions</t>
  </si>
  <si>
    <t>3. If there are negative values in the "End-Year Fund Balance" column, adjust the starting $/ton rate or identify years which you wish to increase or decrease the $/ton values manually so that there are no negative values</t>
  </si>
  <si>
    <t>2. Press on the "Set Rates" button and allow the program to calculate the starting rate or manually set a starting rate</t>
  </si>
  <si>
    <t>ACRE</t>
  </si>
  <si>
    <t>LF</t>
  </si>
  <si>
    <t>Stormwater Control Berms</t>
  </si>
  <si>
    <t>SY</t>
  </si>
  <si>
    <t>CY</t>
  </si>
  <si>
    <t>LS</t>
  </si>
  <si>
    <t>Site Clearing and Preparation</t>
  </si>
  <si>
    <t>true area</t>
  </si>
  <si>
    <t>Landfill closure area (acres) =</t>
  </si>
  <si>
    <t>Comments</t>
  </si>
  <si>
    <t>Unit Price</t>
  </si>
  <si>
    <t>Unit</t>
  </si>
  <si>
    <t>Quantity</t>
  </si>
  <si>
    <t>Extended</t>
  </si>
  <si>
    <t>Estimated</t>
  </si>
  <si>
    <t>GRAND TOTAL (rounded to the nearest thousand dollars)</t>
  </si>
  <si>
    <t>SUBTOTAL</t>
  </si>
  <si>
    <t>Groundwater - 40 hrs/qtr (3 qtrs); annual 80 hrs; Landfill Gas - 8 hrs/qtr; Leachate Wastewater - 12 hrs/qtr</t>
  </si>
  <si>
    <t>HRS</t>
  </si>
  <si>
    <t>Quarterly Reporting</t>
  </si>
  <si>
    <t>Data entry and QA/QC; 32 hours per quarter</t>
  </si>
  <si>
    <t>Database Entry &amp; Management</t>
  </si>
  <si>
    <t>8 hours per month</t>
  </si>
  <si>
    <t>Administration &amp; Management</t>
  </si>
  <si>
    <t>PROGRAM MANAGEMENT AND REPORTING:</t>
  </si>
  <si>
    <t>Subtotal</t>
  </si>
  <si>
    <t>LandGEM instrument - annual calibration, rebuilds, etc.</t>
  </si>
  <si>
    <t>Gas Monitoring Instrument</t>
  </si>
  <si>
    <t>Quarter testing - two grab samples at flare (normal + f. duplicate)</t>
  </si>
  <si>
    <t>EA</t>
  </si>
  <si>
    <t>Analytical Laboratory Testing</t>
  </si>
  <si>
    <t>Concurrent with groundwater sampling - 2 hrs each quarter</t>
  </si>
  <si>
    <t>Sample Collection &amp; Coordination</t>
  </si>
  <si>
    <t>20 hours per month (in addition to site O&amp;M and inspections)</t>
  </si>
  <si>
    <t>System Control Adjustments</t>
  </si>
  <si>
    <t>Landfill Gas Monitoring</t>
  </si>
  <si>
    <t>Shipment of all samples to the lab (includes gas samples)</t>
  </si>
  <si>
    <t>Sample Shipping</t>
  </si>
  <si>
    <t>Generator, turbidity/temp/pH meter, pump controller and supplies</t>
  </si>
  <si>
    <t>Sampling Equipment Replacement</t>
  </si>
  <si>
    <t xml:space="preserve">Extra constituents for assessment monitoring </t>
  </si>
  <si>
    <t>Assessment Monitoring/Contingency</t>
  </si>
  <si>
    <t>Collect one sample set per well and one field dup per quarter</t>
  </si>
  <si>
    <t>Groundwater/Leachate Pump Station Monitoring</t>
  </si>
  <si>
    <t>ENVIRONMENTAL MONITORING:</t>
  </si>
  <si>
    <t>Miscellaneous support services</t>
  </si>
  <si>
    <t>Miscellaneous &amp; Allowance</t>
  </si>
  <si>
    <t>Annual survey mapping of the landfill surface to monitor settlement. $3,000 per mapping event (year)</t>
  </si>
  <si>
    <t>Surveying/Mapping</t>
  </si>
  <si>
    <t>Blower station, site lighting</t>
  </si>
  <si>
    <t>Electricity/Utilities</t>
  </si>
  <si>
    <t>State wastewater discharge permit (leachate sump) &amp; Health Department permit</t>
  </si>
  <si>
    <t>Permitting</t>
  </si>
  <si>
    <t>Administration</t>
  </si>
  <si>
    <t>Parts replacement, rebuilds, materials, and equipment</t>
  </si>
  <si>
    <t>Supplies &amp; Equipment</t>
  </si>
  <si>
    <t>Assumes 12 hours per week - third party consultant technician</t>
  </si>
  <si>
    <t>Labor</t>
  </si>
  <si>
    <t xml:space="preserve">Maintain/Inspect ditches, ponds, leachate and gas facilities/ probes, roads, etc. </t>
  </si>
  <si>
    <t>GENERAL SITE O&amp;M, INSPECTIONS, AND PERMITTING:</t>
  </si>
  <si>
    <t>Task Description</t>
  </si>
  <si>
    <t>Facility oversight/Managament; 8 hrs/month by County personnel</t>
  </si>
  <si>
    <t>4 groundwater monitoring wells, 1 leachate sump</t>
  </si>
  <si>
    <t>Quarterly - Team of 2 over 1 days at 10 hours per day</t>
  </si>
  <si>
    <t>&lt;rounding to the penny to set rates results in a final fund balance not equal to 0&gt;</t>
  </si>
  <si>
    <t>5. Highlight the cell red to indicate you have hard-entered a value in</t>
  </si>
  <si>
    <t>Blue numbers indicate that these cells are named variables. If these cells are deleted, the "Set Rates" button will not work and the VBA code that corresponds to it may need to be updated.</t>
  </si>
  <si>
    <t>&lt;LGIP rate&gt;</t>
  </si>
  <si>
    <t>EIRSWD - District Landfill</t>
  </si>
  <si>
    <t>Variables</t>
  </si>
  <si>
    <t>Value</t>
  </si>
  <si>
    <t>4. Select a cell and manually increase it or decrease it until you are close, then click on the +0.01 or -0.01 buttons to increase or decrease it by a penny a time (these buttons change the value in the active cell, so click on the cell you wish to change first).</t>
  </si>
  <si>
    <t>Note:</t>
  </si>
  <si>
    <t>Notes</t>
  </si>
  <si>
    <t>Interest Earned in Reserve Accounts</t>
  </si>
  <si>
    <t>Cost of Issuance</t>
  </si>
  <si>
    <t>Deposit to Construction Fund</t>
  </si>
  <si>
    <t>OPINION OF PROBABLE COST</t>
  </si>
  <si>
    <t>PROJECT</t>
  </si>
  <si>
    <t>PROJECT NO.</t>
  </si>
  <si>
    <t>DATE</t>
  </si>
  <si>
    <t>EIRSWD Landfill Cell A</t>
  </si>
  <si>
    <t>4-20133</t>
  </si>
  <si>
    <t>General Conditions</t>
  </si>
  <si>
    <t>ITEM NO.</t>
  </si>
  <si>
    <t>DESCRIPTION</t>
  </si>
  <si>
    <t>QUANTITY</t>
  </si>
  <si>
    <t>UNIT</t>
  </si>
  <si>
    <t>UNIT PRICE</t>
  </si>
  <si>
    <t>TOTAL PRICE</t>
  </si>
  <si>
    <t>ESTIMATING COMMENTS</t>
  </si>
  <si>
    <t>Bonds, Insurance, Mobe, Demobe, and Contract Closeout</t>
  </si>
  <si>
    <t>Assume 5%</t>
  </si>
  <si>
    <t>Temporary Facilities, Controls, Survey, Contractor's QC</t>
  </si>
  <si>
    <t>Assume 4%</t>
  </si>
  <si>
    <t xml:space="preserve">Subtotal </t>
  </si>
  <si>
    <t>Landfill Cell A</t>
  </si>
  <si>
    <t>Topsoil Stripping and Stockpiling</t>
  </si>
  <si>
    <t>General Excavation</t>
  </si>
  <si>
    <t>Embankment Fill</t>
  </si>
  <si>
    <t>General Stockpile Fill</t>
  </si>
  <si>
    <t>10% shrinkage from cut to bank</t>
  </si>
  <si>
    <t>Subgrade Preparation for Liner</t>
  </si>
  <si>
    <t>Surface compaction and prep to ready for liner deployment</t>
  </si>
  <si>
    <t>60-mil HDPE Geomembrane</t>
  </si>
  <si>
    <t>$0.60/sf (Butte-Silver Bow Bid Tab) = $5.40/sy - roundup to $5.50/sy</t>
  </si>
  <si>
    <t>GCL</t>
  </si>
  <si>
    <t>0.63/sf average (Butte-Silver Bow Bid Tab = $5.67/sy - roundup to$ 5.75 sy</t>
  </si>
  <si>
    <t>Sand Drainage Layer (w/ Strip Drains)</t>
  </si>
  <si>
    <t>Import drain sand and add strip drains to enhance drainage (or use all pea gravel)</t>
  </si>
  <si>
    <t>Leachate Collection Trenches (Toes and Central)</t>
  </si>
  <si>
    <t>Includes pipe and drain rock</t>
  </si>
  <si>
    <t>Leachate Cleanouts</t>
  </si>
  <si>
    <t>Leachate Pump Station</t>
  </si>
  <si>
    <t>Leachate Gravity Main</t>
  </si>
  <si>
    <t xml:space="preserve">Leachate Forcemain Main </t>
  </si>
  <si>
    <t>Electrical Systems and Controls (Allowance)</t>
  </si>
  <si>
    <t>Sump pumps</t>
  </si>
  <si>
    <t>Build Perimeter Access Roads / Road Side Ditches</t>
  </si>
  <si>
    <r>
      <t xml:space="preserve">Assume </t>
    </r>
    <r>
      <rPr>
        <sz val="8"/>
        <color rgb="FFFF0000"/>
        <rFont val="Arial"/>
        <family val="2"/>
      </rPr>
      <t>1000'</t>
    </r>
    <r>
      <rPr>
        <sz val="8"/>
        <color indexed="12"/>
        <rFont val="Arial"/>
        <family val="2"/>
      </rPr>
      <t xml:space="preserve"> of road x 40' wide x 12" road base @ 140 lbs/ft3</t>
    </r>
  </si>
  <si>
    <t>4700 and 40 feet wide</t>
  </si>
  <si>
    <t>road to leachate ponds</t>
  </si>
  <si>
    <t>Stormwater / Drainage Controls (Allowance)</t>
  </si>
  <si>
    <t xml:space="preserve">Hydroseed / Permanent Stabilization </t>
  </si>
  <si>
    <t>allowance including stockpile area</t>
  </si>
  <si>
    <t>CONSTRUCTION SUBTOTAL</t>
  </si>
  <si>
    <t>CONTINGENCY</t>
  </si>
  <si>
    <t>Travis Pyle, PE</t>
  </si>
  <si>
    <t>DIRECT CONSTRUCTION COSTS</t>
  </si>
  <si>
    <t>ESTIMATE BY:</t>
  </si>
  <si>
    <t>ID Sales Tax</t>
  </si>
  <si>
    <t>assume 1/3 of construction costs are materials for sales tax</t>
  </si>
  <si>
    <t>Michelle Langdon, PE</t>
  </si>
  <si>
    <t>Total Project (rounded)</t>
  </si>
  <si>
    <t>CHECKED BY:</t>
  </si>
  <si>
    <t>This Opinion of Probable Cost is the opinion of the Engineer, and is supplied as a guide only. Since the Engineer has no control over the costs of labor and materials or over competitive bidding and market conditions, the Engineer does not guarantee the accuracy of such opinion as compared to Contractor's bids or actual costs to the Owner. Estimate is provided in 2021 dollars (2021$).</t>
  </si>
  <si>
    <t>EIRSWD Landfill Cell B</t>
  </si>
  <si>
    <t>Landfill Cell B</t>
  </si>
  <si>
    <r>
      <t xml:space="preserve">Assume </t>
    </r>
    <r>
      <rPr>
        <sz val="8"/>
        <color rgb="FFFF0000"/>
        <rFont val="Arial"/>
        <family val="2"/>
      </rPr>
      <t>1200'</t>
    </r>
    <r>
      <rPr>
        <sz val="8"/>
        <color indexed="12"/>
        <rFont val="Arial"/>
        <family val="2"/>
      </rPr>
      <t xml:space="preserve"> of road x 40' wide x 12" road base @ 140 lbs/ft3</t>
    </r>
  </si>
  <si>
    <t>EIRSWD Landfill Cell C</t>
  </si>
  <si>
    <t xml:space="preserve">General Conditions </t>
  </si>
  <si>
    <t>Landfill Cell C</t>
  </si>
  <si>
    <r>
      <t>Assume 800</t>
    </r>
    <r>
      <rPr>
        <sz val="8"/>
        <color rgb="FFFF0000"/>
        <rFont val="Arial"/>
        <family val="2"/>
      </rPr>
      <t>'</t>
    </r>
    <r>
      <rPr>
        <sz val="8"/>
        <color indexed="12"/>
        <rFont val="Arial"/>
        <family val="2"/>
      </rPr>
      <t xml:space="preserve"> of road x 40' wide x 12" road base @ 140 lbs/ft3</t>
    </r>
  </si>
  <si>
    <t>EIRSWD Landfill Cell D</t>
  </si>
  <si>
    <t>Landfill Cell D</t>
  </si>
  <si>
    <r>
      <t xml:space="preserve">Assume </t>
    </r>
    <r>
      <rPr>
        <sz val="8"/>
        <color rgb="FFFF0000"/>
        <rFont val="Arial"/>
        <family val="2"/>
      </rPr>
      <t>2500'</t>
    </r>
    <r>
      <rPr>
        <sz val="8"/>
        <color indexed="12"/>
        <rFont val="Arial"/>
        <family val="2"/>
      </rPr>
      <t xml:space="preserve"> of road x 40' wide x 12" road base @ 140 lbs/ft3</t>
    </r>
  </si>
  <si>
    <t>Services During Construction (inflated)</t>
  </si>
  <si>
    <t>If you receive a warning that you cannot run the macro, please try saving the file, closing it, and reopening it.</t>
  </si>
  <si>
    <t>Travis Pyle, PE / Duncan Breedlove, EI</t>
  </si>
  <si>
    <t>EIRSWD Landfill - Leachate Ponds / Support Fac.</t>
  </si>
  <si>
    <t>Leachate Ponds/Ops Road/Shop Area Earthwork</t>
  </si>
  <si>
    <t>Leachate Ponds (Acres) =</t>
  </si>
  <si>
    <t>Stockpile Stripping and Stockpiling</t>
  </si>
  <si>
    <t>Stockpile Fill</t>
  </si>
  <si>
    <t>60-mil HDPE Geomembrane (Primary)</t>
  </si>
  <si>
    <t>Composite Drainage Net</t>
  </si>
  <si>
    <t>.</t>
  </si>
  <si>
    <t>60-mil HDPE Geomembrane (Secondary)</t>
  </si>
  <si>
    <t>Secondary Containment Manhole / Leak Detection System</t>
  </si>
  <si>
    <t>Ancillary power / site lighting around ops and ops road</t>
  </si>
  <si>
    <t>Build Ops Access Roads / Road Side Ditches</t>
  </si>
  <si>
    <r>
      <t xml:space="preserve">Assume </t>
    </r>
    <r>
      <rPr>
        <sz val="8"/>
        <color rgb="FFFF0000"/>
        <rFont val="Arial"/>
        <family val="2"/>
      </rPr>
      <t>2600'</t>
    </r>
    <r>
      <rPr>
        <sz val="8"/>
        <color indexed="12"/>
        <rFont val="Arial"/>
        <family val="2"/>
      </rPr>
      <t xml:space="preserve"> of road x 40' wide x 12" road base @ 140 lbs/ft3</t>
    </r>
  </si>
  <si>
    <t>Main Access Road / Scale/Scalehouse</t>
  </si>
  <si>
    <t>Build Access Roads / Road Side Ditches</t>
  </si>
  <si>
    <t>1,350 feet of road x 40 feet</t>
  </si>
  <si>
    <t>Tons</t>
  </si>
  <si>
    <t>Total</t>
  </si>
  <si>
    <t>OPINION OF PROBABLE CONSTRUCTION COST</t>
  </si>
  <si>
    <t xml:space="preserve">EIRSWD Landfill Closure </t>
  </si>
  <si>
    <t>Low Perm Soil Layer</t>
  </si>
  <si>
    <t>Drain Sand (w/ Strip Drains)</t>
  </si>
  <si>
    <t xml:space="preserve">Topsoil </t>
  </si>
  <si>
    <t>HDPE Cover Liner</t>
  </si>
  <si>
    <t>Cover System Anchor Trench</t>
  </si>
  <si>
    <t>Perimeter Road Grading and Surfacing</t>
  </si>
  <si>
    <t xml:space="preserve">Sources &amp; Uses </t>
  </si>
  <si>
    <t xml:space="preserve">Sources Of Funds </t>
  </si>
  <si>
    <t>Par Amount of Bonds</t>
  </si>
  <si>
    <t xml:space="preserve">Total Sources </t>
  </si>
  <si>
    <t xml:space="preserve">Uses Of Funds </t>
  </si>
  <si>
    <t>Costs of Issuance</t>
  </si>
  <si>
    <t xml:space="preserve">Total Uses </t>
  </si>
  <si>
    <t>Landfill Financial Forecast Balance Sheet</t>
  </si>
  <si>
    <t>Hauling Financial Forecast Balance Sheet</t>
  </si>
  <si>
    <t>General Operating Expenses</t>
  </si>
  <si>
    <t>Forecast Summary</t>
  </si>
  <si>
    <t>General</t>
  </si>
  <si>
    <t>Landfill</t>
  </si>
  <si>
    <t>Hauling</t>
  </si>
  <si>
    <t>County Contracts</t>
  </si>
  <si>
    <t xml:space="preserve">Bond Anticipation Notes, Series 2022 </t>
  </si>
  <si>
    <t>2-yr Bond Repayment</t>
  </si>
  <si>
    <t>EIRSWD Landfill</t>
  </si>
  <si>
    <t>District W/ Waste Partner (Teton County, ID)</t>
  </si>
  <si>
    <t>Inputs/Assumptions (Color Coded):</t>
  </si>
  <si>
    <t>In-place Waste Density =</t>
  </si>
  <si>
    <t>Description</t>
  </si>
  <si>
    <t>Volume</t>
  </si>
  <si>
    <t>Fill Sequence</t>
  </si>
  <si>
    <t xml:space="preserve">Airspace in Cell A to El. 5,840' (cy) = </t>
  </si>
  <si>
    <t>Stage 1</t>
  </si>
  <si>
    <t>Airspace in Cell B to El. 5,840' (cy) =</t>
  </si>
  <si>
    <t>Stage 2</t>
  </si>
  <si>
    <t>Airspace Cells A &amp; B to El. 5,865' (cy) =</t>
  </si>
  <si>
    <t>Stage 3</t>
  </si>
  <si>
    <t xml:space="preserve">Airspace in Cell C to El. 5,865' (cy) = </t>
  </si>
  <si>
    <t>Stage 4</t>
  </si>
  <si>
    <t>Airspace Cells A - C to El. 5,905' (cy) =</t>
  </si>
  <si>
    <t>Stage 5</t>
  </si>
  <si>
    <t xml:space="preserve">Airspace in Cell D to El. 5905' (cy) = </t>
  </si>
  <si>
    <t>Stage 6</t>
  </si>
  <si>
    <t>Airspace Cells A - D to Final Closure (cy) =</t>
  </si>
  <si>
    <t>Stage 7</t>
  </si>
  <si>
    <t xml:space="preserve">Total Airspace in Landfill (cy) = </t>
  </si>
  <si>
    <t>Waste</t>
  </si>
  <si>
    <t>Cumulative</t>
  </si>
  <si>
    <t>Est. Stage Airspace</t>
  </si>
  <si>
    <t>Est. Total Landfill</t>
  </si>
  <si>
    <t>%Total Airspace</t>
  </si>
  <si>
    <t>Period</t>
  </si>
  <si>
    <t>Disposed (tons)</t>
  </si>
  <si>
    <t>Vol (cy)</t>
  </si>
  <si>
    <t>Waste Vol (cy)</t>
  </si>
  <si>
    <t>Remaining (cy)</t>
  </si>
  <si>
    <t>Airspace Remaining (cy)</t>
  </si>
  <si>
    <t>Used</t>
  </si>
  <si>
    <t>Fill Stage</t>
  </si>
  <si>
    <t>Comments/Notes</t>
  </si>
  <si>
    <t>Stage #1</t>
  </si>
  <si>
    <t>Stage #2</t>
  </si>
  <si>
    <t>Stage #3</t>
  </si>
  <si>
    <t>Stage #4</t>
  </si>
  <si>
    <t>Stage #5</t>
  </si>
  <si>
    <t>Stage #6</t>
  </si>
  <si>
    <t>Stage #7</t>
  </si>
  <si>
    <t>Family Health</t>
  </si>
  <si>
    <t>Medicare</t>
  </si>
  <si>
    <t>FICA</t>
  </si>
  <si>
    <t>PERSI</t>
  </si>
  <si>
    <t>Salary</t>
  </si>
  <si>
    <t>Retirement Match</t>
  </si>
  <si>
    <t>Employee Dental</t>
  </si>
  <si>
    <t>Family HRA</t>
  </si>
  <si>
    <t>Trucks</t>
  </si>
  <si>
    <t>DEQ ARPA Grant</t>
  </si>
  <si>
    <t>Communications/Radio</t>
  </si>
  <si>
    <t>Landfill Opens August 2024, FY 2025 begins in October 2024</t>
  </si>
  <si>
    <t>Fiscal Year</t>
  </si>
  <si>
    <t>Calendar Year</t>
  </si>
  <si>
    <t>Average Yearly
Percent Growth</t>
  </si>
  <si>
    <t>FY</t>
  </si>
  <si>
    <t>Item Description</t>
  </si>
  <si>
    <t>Replacement Cost (ea.)</t>
  </si>
  <si>
    <t>Total Replacement Cost</t>
  </si>
  <si>
    <t>Service Life</t>
  </si>
  <si>
    <t>Printers / Copies</t>
  </si>
  <si>
    <t>iPad</t>
  </si>
  <si>
    <t>Radios</t>
  </si>
  <si>
    <t>Sanders</t>
  </si>
  <si>
    <t>Snowplows</t>
  </si>
  <si>
    <t>Transfer Trailers</t>
  </si>
  <si>
    <t>Vehicles</t>
  </si>
  <si>
    <t>Service Trucks</t>
  </si>
  <si>
    <t>Water Trucks</t>
  </si>
  <si>
    <t>Dump Trucks</t>
  </si>
  <si>
    <t>Compactors</t>
  </si>
  <si>
    <t>Dozers</t>
  </si>
  <si>
    <t>Scrapers</t>
  </si>
  <si>
    <t>Loaders</t>
  </si>
  <si>
    <t>Excavators</t>
  </si>
  <si>
    <t xml:space="preserve">Semi-Trucks </t>
  </si>
  <si>
    <t>Hauling Items are in blue</t>
  </si>
  <si>
    <t>Purchase year, covered by bonds</t>
  </si>
  <si>
    <t>First year of repurchases - service life of 5 years, repurchase on the 6th year. Not including 2024 since only 2 months of operation</t>
  </si>
  <si>
    <t>5-Year Items</t>
  </si>
  <si>
    <t>10-Year Items</t>
  </si>
  <si>
    <t>15-Year Items</t>
  </si>
  <si>
    <t>Replacement Cost</t>
  </si>
  <si>
    <t>Replace Every x Years</t>
  </si>
  <si>
    <t>5-Yr</t>
  </si>
  <si>
    <t>10-Yr</t>
  </si>
  <si>
    <t>15-Yr</t>
  </si>
  <si>
    <t>Equipment Replacement Reserve</t>
  </si>
  <si>
    <t>E4</t>
  </si>
  <si>
    <t>Rounding Amount</t>
  </si>
  <si>
    <t>Curb Tender</t>
  </si>
  <si>
    <t xml:space="preserve">Director </t>
  </si>
  <si>
    <t>Employee $25.00/hr</t>
  </si>
  <si>
    <t xml:space="preserve">Salary </t>
  </si>
  <si>
    <t>EZCARE MD</t>
  </si>
  <si>
    <t>Gym or Golf</t>
  </si>
  <si>
    <t>Employee $23.00/Hr</t>
  </si>
  <si>
    <t>Total Salaries</t>
  </si>
  <si>
    <t>Employee $24.00/hr</t>
  </si>
  <si>
    <t>Hauling Distances</t>
  </si>
  <si>
    <t>Round Trip in Miles</t>
  </si>
  <si>
    <t>Fremont      (St. Anthony)</t>
  </si>
  <si>
    <t>Fremont (Island Park)</t>
  </si>
  <si>
    <t>Clark                  (to Madison TS)</t>
  </si>
  <si>
    <t>Butte                   (to Madison TS)</t>
  </si>
  <si>
    <t>Miles</t>
  </si>
  <si>
    <t>*$3.50 Base Hauling Fee per mile + Fuel + 7% Fuel Surchange</t>
  </si>
  <si>
    <t>*22 Tons is Max Tonnage (No Heavy Loads)</t>
  </si>
  <si>
    <t>*40,000 per year</t>
  </si>
  <si>
    <t>*5 year pay off (Truck/Trailer $1.49 per mile; $.50 for driver; includes sitting time; Fuel $1 per mile; Surchange is additional)</t>
  </si>
  <si>
    <t>*Consider fuel charge every month based on actual</t>
  </si>
  <si>
    <t>Hauling Fee Per Mile</t>
  </si>
  <si>
    <t>Tonnages per Year</t>
  </si>
  <si>
    <t>Miles Per Year</t>
  </si>
  <si>
    <t>Round Trips Per Year</t>
  </si>
  <si>
    <t>*Clark has no compactors, max tonnage assumed at 10 Tons</t>
  </si>
  <si>
    <t>Fuel</t>
  </si>
  <si>
    <t>SISW Example</t>
  </si>
  <si>
    <t>Trailer</t>
  </si>
  <si>
    <t>Yard Bins</t>
  </si>
  <si>
    <t>New Trucks</t>
  </si>
  <si>
    <t>Used Trucks</t>
  </si>
  <si>
    <t>New Trailers</t>
  </si>
  <si>
    <t>Used Trailers</t>
  </si>
  <si>
    <t>Dumpster Trailer</t>
  </si>
  <si>
    <t>TOTAL</t>
  </si>
  <si>
    <t>New Cost</t>
  </si>
  <si>
    <t>Used Cost</t>
  </si>
  <si>
    <t>Truck (Kenworth)</t>
  </si>
  <si>
    <t>Truck (Peterbuilt)</t>
  </si>
  <si>
    <t>Truck (Mack)</t>
  </si>
  <si>
    <t>4 Trailer (IMCO - Fremont)</t>
  </si>
  <si>
    <t>Trailer (East - Madison)</t>
  </si>
  <si>
    <t>New Items, purchased in 2024</t>
  </si>
  <si>
    <t>Used Items, purchased in 2024</t>
  </si>
  <si>
    <t>Purchase Price</t>
  </si>
  <si>
    <t>Off-Schedule</t>
  </si>
  <si>
    <t>*After first 5 years</t>
  </si>
  <si>
    <t>Hauling Off-Schedule</t>
  </si>
  <si>
    <t>Hauling Combined</t>
  </si>
  <si>
    <t>&lt;+93,530+76,000 for new truck and trailer&gt;</t>
  </si>
  <si>
    <t>&lt;+61,306.32 for new truck&gt;</t>
  </si>
  <si>
    <t>Cost/Mile</t>
  </si>
  <si>
    <t>*Limitations: Salaries not included and are a major expense. No ERR for Madison, so would have to remove ERR from our calculations for a more accurate comparison.</t>
  </si>
  <si>
    <t>Repair</t>
  </si>
  <si>
    <t>AVE</t>
  </si>
  <si>
    <t>&lt;assumes rotation of 2 landfill employees to assist in the fleet haul&gt;</t>
  </si>
  <si>
    <t xml:space="preserve">Parameters/Assumptions: </t>
  </si>
  <si>
    <t>&gt; Landfill revenues cover cost of bond repayment</t>
  </si>
  <si>
    <t>Landfill Tip Fee (Beginning Year)</t>
  </si>
  <si>
    <t>Hauling Cost Per Mile (Beginning Year)</t>
  </si>
  <si>
    <t>&gt; Landfill Tipping Fee increases every 4th year by rate of inflation from the last 3 years</t>
  </si>
  <si>
    <t>Landfill Tip Fee (End Year)</t>
  </si>
  <si>
    <t>Landfill Rate Reduction Schedule</t>
  </si>
  <si>
    <t>Now</t>
  </si>
  <si>
    <t>Reduction</t>
  </si>
  <si>
    <t>Landfill Operations</t>
  </si>
  <si>
    <t>Overall Increase $</t>
  </si>
  <si>
    <t>Average Yearly Increase $</t>
  </si>
  <si>
    <t>Average Yearly Increase %</t>
  </si>
  <si>
    <t>Landfill Tip Fee (End Year - Inflated Fully)</t>
  </si>
  <si>
    <t>Overall Reduction</t>
  </si>
  <si>
    <t>Overall Increase $ (Inflated Fully)</t>
  </si>
  <si>
    <t>Average Yearly Increase $ (Inflated Fully)</t>
  </si>
  <si>
    <t>Average Yearly Increase % (Inflated Fully)</t>
  </si>
  <si>
    <t>Hauling Operations</t>
  </si>
  <si>
    <t>Hauling Cost Per Mile (End Year)</t>
  </si>
  <si>
    <t>Average Yearly Cost Per Mile</t>
  </si>
  <si>
    <t>Minimum Fund Balance</t>
  </si>
  <si>
    <t>Total Expenses</t>
  </si>
  <si>
    <t>$/Ton</t>
  </si>
  <si>
    <t>Landfill Tip Fee</t>
  </si>
  <si>
    <t>Operating TS and Haul</t>
  </si>
  <si>
    <t>Haul cost in 2025</t>
  </si>
  <si>
    <t>Loan Repayment</t>
  </si>
  <si>
    <t>Loan Covered Payments</t>
  </si>
  <si>
    <t>1. Reset the formulas by selecting the range and pulling those formulas through the remaining cells in the column</t>
  </si>
  <si>
    <t>Annual</t>
  </si>
  <si>
    <t>Dep. Costs</t>
  </si>
  <si>
    <t>Site Reconnaissance / Site Certification / Master Development Plan / Financial Pro-Forma</t>
  </si>
  <si>
    <t>Preliminary Engineering Report (PER)  / Environmental Assessment (EA) / RD Funding App.</t>
  </si>
  <si>
    <t xml:space="preserve">Hydrogeologic / Geotechnical Investigation and Characterization / Reporting / Monitoring Well Network </t>
  </si>
  <si>
    <t>Prelim Design Plan / MSWLF Permit Application</t>
  </si>
  <si>
    <t>Construction / Design:</t>
  </si>
  <si>
    <t>Final Design Report / Bidding Documents / Permit to Construct</t>
  </si>
  <si>
    <t xml:space="preserve">Bidding Support / Construction Contract Administration (CA) </t>
  </si>
  <si>
    <t>Post Construction Services / Regulatory Plans / Permit to Operate</t>
  </si>
  <si>
    <t>Construction (Cell A, Leachate Ponds, and Support Infrastructure)</t>
  </si>
  <si>
    <t xml:space="preserve">Construction Contingency </t>
  </si>
  <si>
    <t>Sales Taxes (6% on materials only – estimated)</t>
  </si>
  <si>
    <t>Item</t>
  </si>
  <si>
    <r>
      <t xml:space="preserve">Estimated Cost </t>
    </r>
    <r>
      <rPr>
        <b/>
        <vertAlign val="superscript"/>
        <sz val="10"/>
        <color rgb="FFFFFFFF"/>
        <rFont val="Arial Narrow"/>
        <family val="2"/>
      </rPr>
      <t>(1,2)</t>
    </r>
  </si>
  <si>
    <t>Preliminary Matters:</t>
  </si>
  <si>
    <t>Notes:</t>
  </si>
  <si>
    <r>
      <t>1.</t>
    </r>
    <r>
      <rPr>
        <sz val="10"/>
        <rFont val="Arial Narrow"/>
        <family val="2"/>
      </rPr>
      <t xml:space="preserve"> Costs are in estimated in 2022$ and rounded to the nearest $1,000. </t>
    </r>
  </si>
  <si>
    <r>
      <t>2.</t>
    </r>
    <r>
      <rPr>
        <sz val="10"/>
        <rFont val="Arial Narrow"/>
        <family val="2"/>
      </rPr>
      <t xml:space="preserve"> Costs do not include landfill equipment purchase and hauling startup costs</t>
    </r>
  </si>
  <si>
    <t>Landfill Equipment</t>
  </si>
  <si>
    <t>Hauling Equipment</t>
  </si>
  <si>
    <t>Roll-Offs</t>
  </si>
  <si>
    <t>Initial Service Life</t>
  </si>
  <si>
    <t>Hauling Subsidy</t>
  </si>
  <si>
    <t>Total in District</t>
  </si>
  <si>
    <t>2024$</t>
  </si>
  <si>
    <t>Subtotal E7</t>
  </si>
  <si>
    <t>Hauling Fleet - Subsidized $2/ton</t>
  </si>
  <si>
    <t>Hauling Subsidy from Landfill</t>
  </si>
  <si>
    <t>Hauling Fee Reduction Per Mile</t>
  </si>
  <si>
    <t>&gt; No excess revenue generated from hauling fleet</t>
  </si>
  <si>
    <t>&gt; Revenues = expenses - 2$/ton</t>
  </si>
  <si>
    <t>&gt; Landfill Subsidizing 2$/ton</t>
  </si>
  <si>
    <t>Max Tip Fee</t>
  </si>
  <si>
    <t>Min Tip Fee</t>
  </si>
  <si>
    <t>Average Tip Fee</t>
  </si>
  <si>
    <t>Land Improvements / Landscaping / Repairs</t>
  </si>
  <si>
    <t>Reserve Accounts</t>
  </si>
  <si>
    <t xml:space="preserve">Reserve Accounts </t>
  </si>
  <si>
    <t>Vehicle (Truck) Operations</t>
  </si>
  <si>
    <t>Legal / Accounting</t>
  </si>
  <si>
    <t>Maintenance</t>
  </si>
  <si>
    <t>Membership Fee - Teton County</t>
  </si>
  <si>
    <t>Loans, Grants, and Membership Fees</t>
  </si>
  <si>
    <t>Pass/Fail Check</t>
  </si>
  <si>
    <t>Tipping Fee ($/ton)</t>
  </si>
  <si>
    <t>Actuals</t>
  </si>
  <si>
    <t>Revenues by County</t>
  </si>
  <si>
    <t>Landfill Tipping Revenues</t>
  </si>
  <si>
    <t>Hauling Revenues</t>
  </si>
  <si>
    <t xml:space="preserve">$16,815,000 </t>
  </si>
  <si>
    <t xml:space="preserve">November 11, 2022 </t>
  </si>
  <si>
    <t xml:space="preserve"> Dated 11/11/2022 |  Delivered 11/11/2022</t>
  </si>
  <si>
    <t xml:space="preserve">$18,130,000 </t>
  </si>
  <si>
    <t xml:space="preserve">November 15, 2024 </t>
  </si>
  <si>
    <t xml:space="preserve"> Dated 11/15/2024 |  Delivered 11/15/2024</t>
  </si>
  <si>
    <t>40-yr Bond Repayment</t>
  </si>
  <si>
    <t>FY 2023 / 2024</t>
  </si>
  <si>
    <t>Total (All Categories) -----------------------------------------------------------------------------------&gt;</t>
  </si>
  <si>
    <t>FY 2024</t>
  </si>
  <si>
    <t>SUBTOTAL CATEGORIES D (FY 2024 Expenses)</t>
  </si>
  <si>
    <t>Subtotal Category D</t>
  </si>
  <si>
    <t>September 2023 - June 2024</t>
  </si>
  <si>
    <t>Elements of approved leak detection system. Collects leachate in secondary liner interstitial space. Prevents leaks or seeps from liner failure from entering the environment.</t>
  </si>
  <si>
    <t>Leachate Ponds – Leak Detection System (sump double liner, drainage net, piping, and collection manholes) - Install</t>
  </si>
  <si>
    <t>D-14</t>
  </si>
  <si>
    <t>Element of approved liner design (Groundwater protection and leachate collection)</t>
  </si>
  <si>
    <t>Leachate Ponds – Geosynthetic Clay Liner (GCL) - Install</t>
  </si>
  <si>
    <t>D-13</t>
  </si>
  <si>
    <t>HDPE</t>
  </si>
  <si>
    <t>Leachate Ponds – HDPE 60-mil Geomembrane Liner - Install</t>
  </si>
  <si>
    <t>D-12</t>
  </si>
  <si>
    <t>September - October 2023</t>
  </si>
  <si>
    <t xml:space="preserve">Element of approved leachate management system (Groundwater protection and leachate storage) </t>
  </si>
  <si>
    <t>Leachate Ponds Excavation, Contouring, and compaction</t>
  </si>
  <si>
    <t>D-11</t>
  </si>
  <si>
    <t>July - October 2023</t>
  </si>
  <si>
    <t>Element of facility design that is necessary to prevent leachate from mixing with stormwater (groundwater protection and leachate management)</t>
  </si>
  <si>
    <t xml:space="preserve">Leachate minimization / stormwater drainage system earthwork and contouring  </t>
  </si>
  <si>
    <t>D-10</t>
  </si>
  <si>
    <t xml:space="preserve">Protects edges of liner while the cell is filled.  This portion of the liner ties into the liner of the next cell (necessary element of liner protection / groundwater protection). </t>
  </si>
  <si>
    <t xml:space="preserve">Plywood/Visqueen Liner Termination Protection purchase, transport, and install </t>
  </si>
  <si>
    <t>D-9</t>
  </si>
  <si>
    <t>Elements of approved lead detection system. Collects leachate in secondary liner interstitial space. Prevents leaks or seeps from liner failure from entering the environment.</t>
  </si>
  <si>
    <t>Cell A – Leak Detection System (sump double liner, drainage net, piping, and collection manhole) - Install</t>
  </si>
  <si>
    <t>D-8</t>
  </si>
  <si>
    <t>Elements of approved leachate management system. Removes leachate generated from the landfill and routes leachate to lined ponds. Prevents leaks or seeps from liner failure from entering the environment.</t>
  </si>
  <si>
    <t>Cell A – Leachate Removal System (Sideslope Riser Pipes, Pumps, Pressure Transducers, Valves, and Piping) - Install</t>
  </si>
  <si>
    <t>D-7</t>
  </si>
  <si>
    <t xml:space="preserve">Element of approved liner design and Protects liner from punctures and prevents the accumulation of leachate on the landfill liner (Groundwater protection and leachate collection). </t>
  </si>
  <si>
    <t xml:space="preserve">Landfill Base Protective Gravel or Sand Cover / leachate layer and Leachate Trench Gravel Install </t>
  </si>
  <si>
    <t>D-6</t>
  </si>
  <si>
    <t>subtotal</t>
  </si>
  <si>
    <t>GXT</t>
  </si>
  <si>
    <t>pipes</t>
  </si>
  <si>
    <t>Elements of approved leachate management system. Collects and contains leachate generated from the landfill. Prevents leaks or seeps from liner failure from entering the environment.</t>
  </si>
  <si>
    <t>Cell A - Leachate Collection System (Geotextiles, Pipes, cleanouts) -Install</t>
  </si>
  <si>
    <t>D-5</t>
  </si>
  <si>
    <t>Element of approved liner design and protects liner from puncture (groundwater protection and leachate collection)</t>
  </si>
  <si>
    <t>16 oz non-woven fabric (cushion) - Install</t>
  </si>
  <si>
    <t>D-4</t>
  </si>
  <si>
    <t>Cell A – Geosynthetic Clay Liner (GCL) - Install</t>
  </si>
  <si>
    <t>D-3</t>
  </si>
  <si>
    <t>Cell A – HDPE 60-mil Geomembrane – Install</t>
  </si>
  <si>
    <t>D-2</t>
  </si>
  <si>
    <t xml:space="preserve">Rock and soils excavation and cell contouring (necessary precursor to liner install / groundwater protection and leachate collection) </t>
  </si>
  <si>
    <t xml:space="preserve">Cell A preparation for liner install (cell floor contouring, embankment, native side slope stabilization) </t>
  </si>
  <si>
    <t>D-1</t>
  </si>
  <si>
    <t>Construction &amp; Products / Materials Installation</t>
  </si>
  <si>
    <t>(D)</t>
  </si>
  <si>
    <t>FY 2023</t>
  </si>
  <si>
    <t>SUBTOTAL CATEGORIES A-C (FY 2023 Expenses)</t>
  </si>
  <si>
    <t>Subtotal Category C</t>
  </si>
  <si>
    <t>September 2022 - February 2023</t>
  </si>
  <si>
    <t xml:space="preserve">Design of liner systems for the landfill cell and leachate ponds, design of the leak detection systems </t>
  </si>
  <si>
    <t>Planning / Professional Services</t>
  </si>
  <si>
    <t>C-1</t>
  </si>
  <si>
    <t>Planning / Professional Engineering Services</t>
  </si>
  <si>
    <t>(C)</t>
  </si>
  <si>
    <t>Subtotal Category B</t>
  </si>
  <si>
    <t>FY2023</t>
  </si>
  <si>
    <t>May - June 2023</t>
  </si>
  <si>
    <t>Needed to operate leachate pumps for approved liner and leachate management systems.</t>
  </si>
  <si>
    <t>Electrical Service Extension to the Site</t>
  </si>
  <si>
    <t>B-1</t>
  </si>
  <si>
    <t xml:space="preserve">Utilities </t>
  </si>
  <si>
    <t>(B)</t>
  </si>
  <si>
    <t>Concrete/HDPE Manhole</t>
  </si>
  <si>
    <t>Subtotal Category A</t>
  </si>
  <si>
    <t>Drainage Net</t>
  </si>
  <si>
    <t>April – May 2023</t>
  </si>
  <si>
    <t>Leachate Ponds – Leak Detection System (sump double liner, drainage net, piping, and collection manholes) - Purchase / Delivery</t>
  </si>
  <si>
    <t>A-9</t>
  </si>
  <si>
    <t>Leachate Ponds – Geosynthetic Clay Liner (GCL) - Purchase / Delivery</t>
  </si>
  <si>
    <t>A-8</t>
  </si>
  <si>
    <t>Leachate Ponds – HDPE 60-mil Geomembrane Liner - Purchase / Delivery</t>
  </si>
  <si>
    <t>A-7</t>
  </si>
  <si>
    <t>Cell A – Leak Detection System (sump double liner, drainage net, piping, and collection manhole) - Purchase / Delivery</t>
  </si>
  <si>
    <t>A-6</t>
  </si>
  <si>
    <t>Valves/Appurt.</t>
  </si>
  <si>
    <t>Discharge Pipe</t>
  </si>
  <si>
    <t>Transducer(s)</t>
  </si>
  <si>
    <t>Pumps/controls</t>
  </si>
  <si>
    <t>Riser Pipes</t>
  </si>
  <si>
    <t>Cell A – Leachate Removal System (Sideslope Riser Pipes, Pumps, Pressure Transducers, Valves, and Piping) - Purchase / Delivery</t>
  </si>
  <si>
    <t>A-5</t>
  </si>
  <si>
    <t>Cell A - Leachate Collection System (Geotextiles, Pipes, cleanouts) - Purchase / Delivery</t>
  </si>
  <si>
    <t>A-4</t>
  </si>
  <si>
    <t>16 oz non-woven fabric (cushion) - Purchase / Delivery</t>
  </si>
  <si>
    <t>A-3</t>
  </si>
  <si>
    <t>Cell A – Geosynthetic Clay Liner (GCL) - Purchase / Delivery</t>
  </si>
  <si>
    <t>A-2</t>
  </si>
  <si>
    <t>Cell A – HDPE 60-mil Geomembrane – Purchase / Delivery</t>
  </si>
  <si>
    <t>A-1</t>
  </si>
  <si>
    <t>Sales Tax</t>
  </si>
  <si>
    <t>Contingency</t>
  </si>
  <si>
    <t>Cost</t>
  </si>
  <si>
    <t>Unit Cost</t>
  </si>
  <si>
    <t>Units</t>
  </si>
  <si>
    <t>Products / Materials Pre-Purchase (to be Owner Furnished for Contract Install)</t>
  </si>
  <si>
    <t>(A)</t>
  </si>
  <si>
    <t>Assumptions:</t>
  </si>
  <si>
    <t>DEQ FY (June 30 Calendar)</t>
  </si>
  <si>
    <t>Est. Cost</t>
  </si>
  <si>
    <t>Est. Date or Date Range</t>
  </si>
  <si>
    <t>Description (Justification)</t>
  </si>
  <si>
    <t>Expense</t>
  </si>
  <si>
    <t>Item No.</t>
  </si>
  <si>
    <t>ARPA Eligible Expenses Redistribution</t>
  </si>
  <si>
    <t>Short-Lived Assets Reserve</t>
  </si>
  <si>
    <t>10-yr Debt Service Reserve</t>
  </si>
  <si>
    <t>Would Be</t>
  </si>
  <si>
    <t>Interim Financing / USDA Bond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</si>
</sst>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_(&quot;$&quot;* #,##0_);_(&quot;$&quot;* \(#,##0\);_(&quot;$&quot;* &quot;-&quot;??_);_(@_)"/>
    <numFmt numFmtId="167" formatCode="mm/dd/yyyy"/>
    <numFmt numFmtId="168" formatCode="###,###,###,##0;\(###,###,###,##0\);&quot;-&quot;;\ \ \ \ \ \ \ "/>
    <numFmt numFmtId="169" formatCode="####0.000&quot;%&quot;;\-####0.000&quot;%&quot;;&quot;-&quot;;\ \ \ \ \ \ \ \ \ \ \ \ \ \ "/>
    <numFmt numFmtId="170" formatCode="#0&quot;/&quot;00&quot;/&quot;0000;;&quot;Total&quot;;\ \ \ \ \ \ \ \ \ \ \ \ \ \ \ \ \ \ \ \ \ "/>
    <numFmt numFmtId="171" formatCode="&quot;$&quot;###,###,###,##0;\(###,###,###,##0\);&quot;-&quot;;\ \ \ \ \ \ \ "/>
    <numFmt numFmtId="172" formatCode="&quot;-&quot;"/>
    <numFmt numFmtId="173" formatCode="&quot; &quot;\ \ \ \ \ \ \ \ \ \ \ \ \ \ \ \ \ \ \ \ \ \ \ \ \ \ \ \ \ \ \ \ \ \ \ \ \ \ \ \ \ \ \ \ \ \ \ \ \ \ \ \ \ \ \ \ \ "/>
    <numFmt numFmtId="174" formatCode="&quot;$&quot;###,###,###,##0.00;&quot;$(&quot;###,###,###,##0.00&quot;)&quot;;&quot;-&quot;;\ \ \ \ \ \ \ \ "/>
    <numFmt numFmtId="175" formatCode="#,###,###,###,##0.000&quot; Years&quot;;;&quot;-&quot;;\ \ \ \ \ \ \ \ \ \ \ \ \ \ \ \ \ \ \ \ \ \ \ \ \ "/>
    <numFmt numFmtId="176" formatCode="#########0.0000000&quot;%&quot;;\-#########0.0000000&quot;%&quot;;&quot;-&quot;;\ \ \ \ \ \ \ \ \ \ \ "/>
    <numFmt numFmtId="177" formatCode="#,##0.0_);\(#,##0.0\)"/>
    <numFmt numFmtId="178" formatCode="#,##0.0"/>
    <numFmt numFmtId="179" formatCode="0.0"/>
    <numFmt numFmtId="180" formatCode="_(&quot;$&quot;* #,##0.00_);_(&quot;$&quot;* \(#,##0.00\);_(&quot;$&quot;* &quot;-&quot;_);_(@_)"/>
    <numFmt numFmtId="181" formatCode="&quot;$&quot;#,##0.00"/>
    <numFmt numFmtId="182" formatCode="###,###,###,##0.00;&quot;(&quot;###,###,###,##0.00&quot;)&quot;;&quot;-&quot;;\ \ \ \ \ \ \ \ \ \ \ \ "/>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b/>
      <sz val="11"/>
      <name val="Arial Narrow"/>
      <family val="2"/>
    </font>
    <font>
      <b/>
      <sz val="14"/>
      <name val="Arial Narrow"/>
      <family val="2"/>
    </font>
    <font>
      <b/>
      <sz val="10"/>
      <name val="Arial"/>
      <family val="2"/>
    </font>
    <font>
      <sz val="10"/>
      <name val="Arial"/>
      <family val="2"/>
    </font>
    <font>
      <u/>
      <sz val="10"/>
      <name val="Arial"/>
      <family val="2"/>
    </font>
    <font>
      <b/>
      <u/>
      <sz val="10"/>
      <name val="Arial"/>
      <family val="2"/>
    </font>
    <font>
      <sz val="8"/>
      <name val="Arial"/>
      <family val="2"/>
    </font>
    <font>
      <sz val="9"/>
      <color indexed="81"/>
      <name val="Tahoma"/>
      <family val="2"/>
    </font>
    <font>
      <b/>
      <sz val="9"/>
      <color indexed="81"/>
      <name val="Tahoma"/>
      <family val="2"/>
    </font>
    <font>
      <b/>
      <sz val="10"/>
      <color indexed="50"/>
      <name val="Arial"/>
      <family val="2"/>
    </font>
    <font>
      <sz val="10"/>
      <color rgb="FFFF0000"/>
      <name val="Arial"/>
      <family val="2"/>
    </font>
    <font>
      <b/>
      <sz val="10"/>
      <color rgb="FFFF0000"/>
      <name val="Arial"/>
      <family val="2"/>
    </font>
    <font>
      <sz val="10"/>
      <color theme="1"/>
      <name val="Arial"/>
      <family val="2"/>
    </font>
    <font>
      <b/>
      <sz val="10"/>
      <color rgb="FF00B050"/>
      <name val="Arial"/>
      <family val="2"/>
    </font>
    <font>
      <sz val="8"/>
      <color rgb="FF000000"/>
      <name val="Arial"/>
      <family val="2"/>
    </font>
    <font>
      <b/>
      <sz val="12"/>
      <name val="Arial"/>
      <family val="2"/>
    </font>
    <font>
      <b/>
      <sz val="11"/>
      <name val="Arial"/>
      <family val="2"/>
    </font>
    <font>
      <u/>
      <sz val="10"/>
      <color rgb="FFFF0000"/>
      <name val="Arial"/>
      <family val="2"/>
    </font>
    <font>
      <sz val="10"/>
      <color rgb="FF000000"/>
      <name val="Arial"/>
      <family val="2"/>
    </font>
    <font>
      <sz val="9"/>
      <color rgb="FF000000"/>
      <name val="Arial"/>
      <family val="2"/>
    </font>
    <font>
      <b/>
      <sz val="11"/>
      <color theme="1"/>
      <name val="Arial"/>
      <family val="2"/>
    </font>
    <font>
      <b/>
      <sz val="10"/>
      <color theme="1"/>
      <name val="Arial"/>
      <family val="2"/>
    </font>
    <font>
      <sz val="11"/>
      <color theme="1"/>
      <name val="Calibri"/>
      <family val="2"/>
      <scheme val="minor"/>
    </font>
    <font>
      <sz val="10"/>
      <name val="Arial"/>
      <family val="2"/>
    </font>
    <font>
      <b/>
      <sz val="12"/>
      <name val="Times New Roman"/>
      <family val="1"/>
    </font>
    <font>
      <sz val="12"/>
      <name val="Times New Roman"/>
      <family val="1"/>
    </font>
    <font>
      <b/>
      <sz val="16"/>
      <color indexed="18"/>
      <name val="Times New Roman"/>
      <family val="1"/>
    </font>
    <font>
      <b/>
      <sz val="8"/>
      <name val="Arial"/>
      <family val="2"/>
    </font>
    <font>
      <b/>
      <sz val="9"/>
      <color indexed="18"/>
      <name val="Arial"/>
      <family val="2"/>
    </font>
    <font>
      <sz val="8"/>
      <name val="Times New Roman"/>
      <family val="1"/>
    </font>
    <font>
      <b/>
      <sz val="8"/>
      <name val="Times New Roman"/>
      <family val="1"/>
    </font>
    <font>
      <sz val="10"/>
      <color rgb="FFCC00FF"/>
      <name val="Arial"/>
      <family val="2"/>
    </font>
    <font>
      <sz val="8"/>
      <color theme="4"/>
      <name val="Arial"/>
      <family val="2"/>
    </font>
    <font>
      <sz val="18"/>
      <name val="Arial"/>
      <family val="2"/>
    </font>
    <font>
      <b/>
      <sz val="11"/>
      <name val="Times New Roman"/>
      <family val="1"/>
    </font>
    <font>
      <u/>
      <sz val="10"/>
      <name val="Times New Roman"/>
      <family val="1"/>
    </font>
    <font>
      <sz val="10"/>
      <name val="Times New Roman"/>
      <family val="1"/>
    </font>
    <font>
      <u/>
      <sz val="8"/>
      <name val="Arial"/>
      <family val="2"/>
    </font>
    <font>
      <b/>
      <i/>
      <sz val="8"/>
      <name val="Arial"/>
      <family val="2"/>
    </font>
    <font>
      <sz val="8"/>
      <color indexed="17"/>
      <name val="Arial"/>
      <family val="2"/>
    </font>
    <font>
      <u/>
      <sz val="8"/>
      <color theme="1"/>
      <name val="Arial"/>
      <family val="2"/>
    </font>
    <font>
      <i/>
      <sz val="8"/>
      <name val="Arial"/>
      <family val="2"/>
    </font>
    <font>
      <sz val="8"/>
      <color indexed="8"/>
      <name val="Arial"/>
      <family val="2"/>
    </font>
    <font>
      <sz val="8"/>
      <color indexed="12"/>
      <name val="Arial"/>
      <family val="2"/>
    </font>
    <font>
      <sz val="8"/>
      <color theme="1"/>
      <name val="Arial"/>
      <family val="2"/>
    </font>
    <font>
      <sz val="8"/>
      <color rgb="FFFF0000"/>
      <name val="Arial"/>
      <family val="2"/>
    </font>
    <font>
      <sz val="10"/>
      <name val="MS Sans Serif"/>
      <family val="2"/>
    </font>
    <font>
      <b/>
      <sz val="8"/>
      <color rgb="FF000000"/>
      <name val="Arial"/>
      <family val="2"/>
    </font>
    <font>
      <b/>
      <sz val="14"/>
      <color rgb="FFFF0000"/>
      <name val="Arial"/>
      <family val="2"/>
    </font>
    <font>
      <b/>
      <sz val="8"/>
      <color indexed="17"/>
      <name val="Arial"/>
      <family val="2"/>
    </font>
    <font>
      <b/>
      <sz val="11"/>
      <color theme="1"/>
      <name val="Calibri"/>
      <family val="2"/>
      <scheme val="minor"/>
    </font>
    <font>
      <b/>
      <u/>
      <sz val="8"/>
      <name val="Arial"/>
      <family val="2"/>
    </font>
    <font>
      <b/>
      <u/>
      <sz val="8"/>
      <color theme="1"/>
      <name val="Arial"/>
      <family val="2"/>
    </font>
    <font>
      <b/>
      <sz val="8"/>
      <color indexed="8"/>
      <name val="Arial"/>
      <family val="2"/>
    </font>
    <font>
      <b/>
      <sz val="14"/>
      <name val="Arial"/>
      <family val="2"/>
    </font>
    <font>
      <sz val="10"/>
      <color indexed="14"/>
      <name val="Arial"/>
      <family val="2"/>
    </font>
    <font>
      <sz val="8"/>
      <color indexed="14"/>
      <name val="Arial"/>
      <family val="2"/>
    </font>
    <font>
      <b/>
      <sz val="10"/>
      <color indexed="14"/>
      <name val="Arial"/>
      <family val="2"/>
    </font>
    <font>
      <sz val="10"/>
      <color rgb="FF00B050"/>
      <name val="Arial"/>
      <family val="2"/>
    </font>
    <font>
      <sz val="10"/>
      <color rgb="FF0070C0"/>
      <name val="Arial"/>
      <family val="2"/>
    </font>
    <font>
      <b/>
      <sz val="10"/>
      <color rgb="FF0070C0"/>
      <name val="Arial"/>
      <family val="2"/>
    </font>
    <font>
      <sz val="10"/>
      <color theme="7" tint="-0.249977111117893"/>
      <name val="Arial"/>
      <family val="2"/>
    </font>
    <font>
      <b/>
      <sz val="10"/>
      <color theme="7" tint="-0.249977111117893"/>
      <name val="Arial"/>
      <family val="2"/>
    </font>
    <font>
      <b/>
      <sz val="10"/>
      <color rgb="FFFFC000"/>
      <name val="Arial"/>
      <family val="2"/>
    </font>
    <font>
      <sz val="10"/>
      <color rgb="FFFFC000"/>
      <name val="Arial"/>
      <family val="2"/>
    </font>
    <font>
      <b/>
      <sz val="10"/>
      <color theme="9" tint="-0.249977111117893"/>
      <name val="Arial"/>
      <family val="2"/>
    </font>
    <font>
      <b/>
      <sz val="10"/>
      <color rgb="FF00B0F0"/>
      <name val="Arial"/>
      <family val="2"/>
    </font>
    <font>
      <sz val="10"/>
      <color theme="9" tint="-0.249977111117893"/>
      <name val="Arial"/>
      <family val="2"/>
    </font>
    <font>
      <sz val="10"/>
      <color rgb="FF00B0F0"/>
      <name val="Arial"/>
      <family val="2"/>
    </font>
    <font>
      <sz val="10"/>
      <color indexed="12"/>
      <name val="Arial"/>
      <family val="2"/>
    </font>
    <font>
      <sz val="10"/>
      <name val="Arial"/>
      <family val="2"/>
    </font>
    <font>
      <sz val="10"/>
      <color rgb="FFFFFF00"/>
      <name val="Arial"/>
      <family val="2"/>
    </font>
    <font>
      <sz val="10"/>
      <color theme="6" tint="0.39997558519241921"/>
      <name val="Arial"/>
      <family val="2"/>
    </font>
    <font>
      <b/>
      <sz val="10"/>
      <color rgb="FF7030A0"/>
      <name val="Arial"/>
      <family val="2"/>
    </font>
    <font>
      <b/>
      <sz val="10"/>
      <color rgb="FFFFFFFF"/>
      <name val="Arial Narrow"/>
      <family val="2"/>
    </font>
    <font>
      <sz val="10"/>
      <name val="Arial Narrow"/>
      <family val="2"/>
    </font>
    <font>
      <i/>
      <sz val="10"/>
      <name val="Arial"/>
      <family val="2"/>
    </font>
    <font>
      <i/>
      <sz val="10"/>
      <name val="Arial Narrow"/>
      <family val="2"/>
    </font>
    <font>
      <b/>
      <sz val="10"/>
      <name val="Arial Narrow"/>
      <family val="2"/>
    </font>
    <font>
      <u/>
      <sz val="10"/>
      <color rgb="FF000000"/>
      <name val="Arial Narrow"/>
      <family val="2"/>
    </font>
    <font>
      <b/>
      <sz val="10"/>
      <color rgb="FF000000"/>
      <name val="Arial Narrow"/>
      <family val="2"/>
    </font>
    <font>
      <b/>
      <vertAlign val="superscript"/>
      <sz val="10"/>
      <color rgb="FFFFFFFF"/>
      <name val="Arial Narrow"/>
      <family val="2"/>
    </font>
    <font>
      <vertAlign val="superscript"/>
      <sz val="10"/>
      <name val="Arial Narrow"/>
      <family val="2"/>
    </font>
    <font>
      <sz val="9"/>
      <name val="Arial"/>
      <family val="2"/>
    </font>
    <font>
      <b/>
      <sz val="9"/>
      <name val="Arial"/>
      <family val="2"/>
    </font>
    <font>
      <b/>
      <sz val="9"/>
      <color indexed="61"/>
      <name val="Arial"/>
      <family val="2"/>
    </font>
    <font>
      <sz val="9"/>
      <color theme="1" tint="0.499984740745262"/>
      <name val="Arial"/>
      <family val="2"/>
    </font>
    <font>
      <sz val="9"/>
      <color rgb="FFFF0000"/>
      <name val="Arial"/>
      <family val="2"/>
    </font>
    <font>
      <sz val="9"/>
      <color theme="0" tint="-0.249977111117893"/>
      <name val="Arial"/>
      <family val="2"/>
    </font>
    <font>
      <sz val="9"/>
      <color theme="6" tint="0.39997558519241921"/>
      <name val="Arial"/>
      <family val="2"/>
    </font>
    <font>
      <b/>
      <sz val="9"/>
      <color indexed="50"/>
      <name val="Arial"/>
      <family val="2"/>
    </font>
    <font>
      <b/>
      <sz val="9"/>
      <color theme="1"/>
      <name val="Arial"/>
      <family val="2"/>
    </font>
    <font>
      <sz val="9"/>
      <color rgb="FFFFFF00"/>
      <name val="Arial"/>
      <family val="2"/>
    </font>
    <font>
      <b/>
      <sz val="8"/>
      <color theme="0"/>
      <name val="Arial"/>
      <family val="2"/>
    </font>
    <font>
      <b/>
      <sz val="12"/>
      <name val="Arial Narrow"/>
      <family val="2"/>
    </font>
    <font>
      <b/>
      <i/>
      <sz val="11"/>
      <color theme="1"/>
      <name val="Arial"/>
      <family val="2"/>
    </font>
    <font>
      <i/>
      <sz val="9"/>
      <name val="Arial"/>
      <family val="2"/>
    </font>
  </fonts>
  <fills count="2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99"/>
        <bgColor indexed="64"/>
      </patternFill>
    </fill>
    <fill>
      <patternFill patternType="solid">
        <fgColor indexed="1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253746"/>
        <bgColor indexed="64"/>
      </patternFill>
    </fill>
    <fill>
      <patternFill patternType="solid">
        <fgColor theme="3" tint="0.79998168889431442"/>
        <bgColor indexed="64"/>
      </patternFill>
    </fill>
    <fill>
      <patternFill patternType="solid">
        <fgColor rgb="FFF2F2F2"/>
        <bgColor indexed="64"/>
      </patternFill>
    </fill>
    <fill>
      <patternFill patternType="solid">
        <fgColor rgb="FFA6A6A6"/>
        <bgColor indexed="64"/>
      </patternFill>
    </fill>
    <fill>
      <patternFill patternType="solid">
        <fgColor rgb="FF000000"/>
        <bgColor indexed="64"/>
      </patternFill>
    </fill>
    <fill>
      <patternFill patternType="solid">
        <fgColor theme="8" tint="0.59999389629810485"/>
        <bgColor indexed="64"/>
      </patternFill>
    </fill>
  </fills>
  <borders count="9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thick">
        <color indexed="64"/>
      </right>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hair">
        <color indexed="64"/>
      </bottom>
      <diagonal/>
    </border>
    <border>
      <left style="thin">
        <color indexed="64"/>
      </left>
      <right/>
      <top style="double">
        <color indexed="64"/>
      </top>
      <bottom style="thin">
        <color indexed="64"/>
      </bottom>
      <diagonal/>
    </border>
    <border>
      <left style="medium">
        <color indexed="64"/>
      </left>
      <right/>
      <top style="thin">
        <color indexed="64"/>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D9D9D9"/>
      </left>
      <right style="medium">
        <color rgb="FFD9D9D9"/>
      </right>
      <top/>
      <bottom style="medium">
        <color rgb="FFD9D9D9"/>
      </bottom>
      <diagonal/>
    </border>
    <border>
      <left/>
      <right style="medium">
        <color rgb="FFD9D9D9"/>
      </right>
      <top/>
      <bottom style="medium">
        <color rgb="FFD9D9D9"/>
      </bottom>
      <diagonal/>
    </border>
    <border>
      <left/>
      <right style="medium">
        <color rgb="FF000000"/>
      </right>
      <top/>
      <bottom/>
      <diagonal/>
    </border>
    <border>
      <left style="medium">
        <color rgb="FFC9C9C9"/>
      </left>
      <right style="medium">
        <color rgb="FFC9C9C9"/>
      </right>
      <top/>
      <bottom style="medium">
        <color rgb="FFC9C9C9"/>
      </bottom>
      <diagonal/>
    </border>
    <border>
      <left/>
      <right style="medium">
        <color rgb="FFC9C9C9"/>
      </right>
      <top/>
      <bottom style="medium">
        <color rgb="FFC9C9C9"/>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D9D9D9"/>
      </right>
      <top/>
      <bottom/>
      <diagonal/>
    </border>
  </borders>
  <cellStyleXfs count="21">
    <xf numFmtId="0" fontId="0" fillId="0" borderId="0"/>
    <xf numFmtId="44" fontId="5" fillId="0" borderId="0" applyFont="0" applyFill="0" applyBorder="0" applyAlignment="0" applyProtection="0"/>
    <xf numFmtId="0" fontId="9" fillId="0" borderId="0"/>
    <xf numFmtId="9" fontId="5" fillId="0" borderId="0" applyFont="0" applyFill="0" applyBorder="0" applyAlignment="0" applyProtection="0"/>
    <xf numFmtId="0" fontId="20" fillId="0" borderId="0"/>
    <xf numFmtId="0" fontId="28" fillId="0" borderId="0"/>
    <xf numFmtId="43" fontId="29" fillId="0" borderId="0" applyFont="0" applyFill="0" applyBorder="0" applyAlignment="0" applyProtection="0"/>
    <xf numFmtId="0" fontId="5" fillId="0" borderId="0"/>
    <xf numFmtId="0" fontId="5" fillId="0" borderId="0"/>
    <xf numFmtId="0" fontId="12" fillId="0" borderId="0">
      <alignment vertical="center"/>
    </xf>
    <xf numFmtId="8" fontId="52" fillId="0" borderId="0" applyFont="0" applyFill="0" applyBorder="0" applyAlignment="0" applyProtection="0"/>
    <xf numFmtId="43" fontId="12"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76"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0" fontId="4" fillId="0" borderId="0"/>
  </cellStyleXfs>
  <cellXfs count="764">
    <xf numFmtId="0" fontId="0" fillId="0" borderId="0" xfId="0"/>
    <xf numFmtId="0" fontId="0" fillId="0" borderId="0" xfId="0" applyAlignment="1">
      <alignment horizontal="center"/>
    </xf>
    <xf numFmtId="0" fontId="0" fillId="2" borderId="0" xfId="0" applyFill="1"/>
    <xf numFmtId="0" fontId="5" fillId="2" borderId="0" xfId="0" applyFont="1" applyFill="1"/>
    <xf numFmtId="0" fontId="7" fillId="2" borderId="5" xfId="0" applyFont="1" applyFill="1" applyBorder="1"/>
    <xf numFmtId="0" fontId="8" fillId="2" borderId="1" xfId="0" applyFont="1" applyFill="1" applyBorder="1" applyAlignment="1">
      <alignment horizontal="center"/>
    </xf>
    <xf numFmtId="0" fontId="8" fillId="2" borderId="0" xfId="0" applyFont="1" applyFill="1" applyAlignment="1">
      <alignment horizontal="center"/>
    </xf>
    <xf numFmtId="0" fontId="16" fillId="2" borderId="0" xfId="0" applyFont="1" applyFill="1"/>
    <xf numFmtId="0" fontId="8" fillId="2" borderId="0" xfId="0" applyFont="1" applyFill="1"/>
    <xf numFmtId="44" fontId="0" fillId="2" borderId="0" xfId="0" applyNumberFormat="1" applyFill="1"/>
    <xf numFmtId="6" fontId="0" fillId="2" borderId="0" xfId="0" applyNumberFormat="1" applyFill="1"/>
    <xf numFmtId="0" fontId="19" fillId="2" borderId="0" xfId="0" applyFont="1" applyFill="1"/>
    <xf numFmtId="44" fontId="5" fillId="2" borderId="0" xfId="0" applyNumberFormat="1" applyFont="1" applyFill="1"/>
    <xf numFmtId="8" fontId="8" fillId="2" borderId="0" xfId="0" applyNumberFormat="1" applyFont="1" applyFill="1"/>
    <xf numFmtId="8" fontId="15" fillId="2" borderId="0" xfId="0" applyNumberFormat="1" applyFont="1" applyFill="1"/>
    <xf numFmtId="44" fontId="0" fillId="2" borderId="0" xfId="0" applyNumberFormat="1" applyFill="1" applyAlignment="1">
      <alignment horizontal="center"/>
    </xf>
    <xf numFmtId="3" fontId="0" fillId="2" borderId="0" xfId="0" applyNumberFormat="1" applyFill="1" applyAlignment="1">
      <alignment horizontal="center"/>
    </xf>
    <xf numFmtId="0" fontId="9" fillId="2" borderId="0" xfId="0" applyFont="1" applyFill="1"/>
    <xf numFmtId="0" fontId="10" fillId="2" borderId="0" xfId="0" applyFont="1" applyFill="1"/>
    <xf numFmtId="0" fontId="11" fillId="2" borderId="0" xfId="0" applyFont="1" applyFill="1"/>
    <xf numFmtId="44" fontId="0" fillId="2" borderId="0" xfId="1" applyFont="1" applyFill="1"/>
    <xf numFmtId="0" fontId="22" fillId="2" borderId="5" xfId="0" applyFont="1" applyFill="1" applyBorder="1"/>
    <xf numFmtId="0" fontId="5" fillId="2" borderId="0" xfId="0" applyFont="1" applyFill="1" applyAlignment="1">
      <alignment horizontal="left"/>
    </xf>
    <xf numFmtId="0" fontId="19" fillId="5" borderId="15" xfId="0" applyFont="1" applyFill="1" applyBorder="1"/>
    <xf numFmtId="0" fontId="19" fillId="5" borderId="16" xfId="0" applyFont="1" applyFill="1" applyBorder="1"/>
    <xf numFmtId="44" fontId="19" fillId="5" borderId="16" xfId="0" applyNumberFormat="1" applyFont="1" applyFill="1" applyBorder="1"/>
    <xf numFmtId="0" fontId="16" fillId="6" borderId="15" xfId="0" applyFont="1" applyFill="1" applyBorder="1"/>
    <xf numFmtId="0" fontId="16" fillId="6" borderId="16" xfId="0" applyFont="1" applyFill="1" applyBorder="1"/>
    <xf numFmtId="0" fontId="17" fillId="6" borderId="16" xfId="0" applyFont="1" applyFill="1" applyBorder="1"/>
    <xf numFmtId="44" fontId="17" fillId="6" borderId="16" xfId="0" applyNumberFormat="1" applyFont="1" applyFill="1" applyBorder="1"/>
    <xf numFmtId="0" fontId="8" fillId="4" borderId="17" xfId="0" applyFont="1" applyFill="1" applyBorder="1"/>
    <xf numFmtId="44" fontId="8" fillId="4" borderId="17" xfId="0" applyNumberFormat="1" applyFont="1" applyFill="1" applyBorder="1"/>
    <xf numFmtId="0" fontId="21" fillId="4" borderId="18" xfId="0" applyFont="1" applyFill="1" applyBorder="1"/>
    <xf numFmtId="0" fontId="21" fillId="4" borderId="19" xfId="0" applyFont="1" applyFill="1" applyBorder="1"/>
    <xf numFmtId="0" fontId="8" fillId="4" borderId="20" xfId="0" applyFont="1" applyFill="1" applyBorder="1"/>
    <xf numFmtId="44" fontId="8" fillId="4" borderId="20" xfId="0" applyNumberFormat="1" applyFont="1" applyFill="1" applyBorder="1"/>
    <xf numFmtId="0" fontId="18" fillId="2" borderId="12" xfId="0" applyFont="1" applyFill="1" applyBorder="1" applyAlignment="1">
      <alignment horizontal="center" vertical="center"/>
    </xf>
    <xf numFmtId="3" fontId="18" fillId="2" borderId="12" xfId="0" applyNumberFormat="1" applyFont="1" applyFill="1" applyBorder="1" applyAlignment="1">
      <alignment horizontal="center"/>
    </xf>
    <xf numFmtId="0" fontId="18" fillId="2" borderId="12" xfId="0" applyFont="1" applyFill="1" applyBorder="1" applyAlignment="1">
      <alignment horizontal="center"/>
    </xf>
    <xf numFmtId="3" fontId="18" fillId="2" borderId="0" xfId="0" applyNumberFormat="1" applyFont="1" applyFill="1" applyAlignment="1">
      <alignment horizontal="center"/>
    </xf>
    <xf numFmtId="0" fontId="0" fillId="2" borderId="0" xfId="0" applyFill="1" applyAlignment="1">
      <alignment horizontal="center"/>
    </xf>
    <xf numFmtId="3" fontId="27" fillId="2" borderId="0" xfId="0" applyNumberFormat="1" applyFont="1" applyFill="1" applyAlignment="1">
      <alignment horizontal="center"/>
    </xf>
    <xf numFmtId="0" fontId="18" fillId="2" borderId="12" xfId="0" applyFont="1" applyFill="1" applyBorder="1"/>
    <xf numFmtId="0" fontId="0" fillId="0" borderId="0" xfId="0" applyAlignment="1">
      <alignment horizontal="left"/>
    </xf>
    <xf numFmtId="166" fontId="0" fillId="0" borderId="0" xfId="0" applyNumberFormat="1"/>
    <xf numFmtId="166" fontId="0" fillId="0" borderId="0" xfId="0" applyNumberFormat="1" applyAlignment="1">
      <alignment horizontal="center"/>
    </xf>
    <xf numFmtId="0" fontId="5" fillId="0" borderId="0" xfId="0" applyFont="1" applyAlignment="1">
      <alignment horizontal="center" wrapText="1"/>
    </xf>
    <xf numFmtId="0" fontId="5" fillId="0" borderId="0" xfId="0" applyFont="1" applyAlignment="1">
      <alignment horizontal="left"/>
    </xf>
    <xf numFmtId="0" fontId="0" fillId="0" borderId="12" xfId="0" applyBorder="1" applyAlignment="1">
      <alignment horizontal="center"/>
    </xf>
    <xf numFmtId="166" fontId="0" fillId="0" borderId="12" xfId="0" applyNumberFormat="1" applyBorder="1"/>
    <xf numFmtId="166" fontId="0" fillId="0" borderId="12" xfId="0" applyNumberFormat="1" applyBorder="1" applyAlignment="1">
      <alignment horizontal="center"/>
    </xf>
    <xf numFmtId="0" fontId="0" fillId="8" borderId="7" xfId="0" applyFill="1" applyBorder="1" applyAlignment="1">
      <alignment horizontal="center" vertical="center"/>
    </xf>
    <xf numFmtId="0" fontId="0" fillId="8" borderId="8" xfId="0" applyFill="1" applyBorder="1" applyAlignment="1">
      <alignment horizontal="center" vertical="center"/>
    </xf>
    <xf numFmtId="0" fontId="5" fillId="8" borderId="8" xfId="0" applyFont="1" applyFill="1" applyBorder="1" applyAlignment="1">
      <alignment horizontal="center" vertical="center" wrapText="1"/>
    </xf>
    <xf numFmtId="0" fontId="5" fillId="8" borderId="8" xfId="0" applyFont="1" applyFill="1" applyBorder="1" applyAlignment="1">
      <alignment horizontal="center" vertical="center"/>
    </xf>
    <xf numFmtId="0" fontId="5" fillId="8" borderId="24" xfId="0" applyFont="1" applyFill="1" applyBorder="1" applyAlignment="1">
      <alignment horizontal="center" vertical="center" wrapText="1"/>
    </xf>
    <xf numFmtId="0" fontId="0" fillId="0" borderId="11" xfId="0" applyBorder="1" applyAlignment="1">
      <alignment horizontal="center"/>
    </xf>
    <xf numFmtId="166" fontId="0" fillId="0" borderId="25" xfId="0" applyNumberFormat="1" applyBorder="1"/>
    <xf numFmtId="0" fontId="0" fillId="0" borderId="22" xfId="0" applyBorder="1" applyAlignment="1">
      <alignment horizontal="center"/>
    </xf>
    <xf numFmtId="0" fontId="0" fillId="0" borderId="23" xfId="0" applyBorder="1"/>
    <xf numFmtId="0" fontId="0" fillId="0" borderId="26" xfId="0" applyBorder="1"/>
    <xf numFmtId="0" fontId="0" fillId="9" borderId="12" xfId="0" applyFill="1" applyBorder="1" applyAlignment="1">
      <alignment horizontal="left"/>
    </xf>
    <xf numFmtId="166" fontId="0" fillId="9" borderId="12" xfId="0" applyNumberFormat="1" applyFill="1" applyBorder="1"/>
    <xf numFmtId="0" fontId="0" fillId="9" borderId="12" xfId="0" applyFill="1" applyBorder="1" applyAlignment="1">
      <alignment horizontal="center"/>
    </xf>
    <xf numFmtId="0" fontId="0" fillId="9" borderId="23" xfId="0" applyFill="1" applyBorder="1" applyAlignment="1">
      <alignment horizontal="left"/>
    </xf>
    <xf numFmtId="0" fontId="0" fillId="9" borderId="23" xfId="0" applyFill="1" applyBorder="1"/>
    <xf numFmtId="0" fontId="12" fillId="0" borderId="0" xfId="0" applyFont="1" applyAlignment="1">
      <alignment horizontal="left"/>
    </xf>
    <xf numFmtId="0" fontId="5" fillId="9" borderId="12" xfId="0" applyFont="1" applyFill="1" applyBorder="1" applyAlignment="1">
      <alignment horizontal="left"/>
    </xf>
    <xf numFmtId="0" fontId="5" fillId="0" borderId="0" xfId="7" applyAlignment="1">
      <alignment horizontal="left"/>
    </xf>
    <xf numFmtId="0" fontId="5" fillId="0" borderId="0" xfId="8"/>
    <xf numFmtId="6" fontId="8" fillId="0" borderId="0" xfId="8" applyNumberFormat="1" applyFont="1" applyAlignment="1">
      <alignment horizontal="center"/>
    </xf>
    <xf numFmtId="0" fontId="8" fillId="0" borderId="0" xfId="8" applyFont="1"/>
    <xf numFmtId="0" fontId="11" fillId="0" borderId="0" xfId="8" applyFont="1"/>
    <xf numFmtId="0" fontId="5" fillId="0" borderId="1" xfId="8" applyBorder="1"/>
    <xf numFmtId="6" fontId="8" fillId="0" borderId="1" xfId="8" applyNumberFormat="1" applyFont="1" applyBorder="1" applyAlignment="1">
      <alignment horizontal="center"/>
    </xf>
    <xf numFmtId="0" fontId="8" fillId="0" borderId="1" xfId="8" applyFont="1" applyBorder="1"/>
    <xf numFmtId="0" fontId="5" fillId="10" borderId="27" xfId="8" applyFill="1" applyBorder="1"/>
    <xf numFmtId="6" fontId="8" fillId="10" borderId="27" xfId="8" applyNumberFormat="1" applyFont="1" applyFill="1" applyBorder="1" applyAlignment="1">
      <alignment horizontal="center"/>
    </xf>
    <xf numFmtId="6" fontId="5" fillId="10" borderId="27" xfId="8" applyNumberFormat="1" applyFill="1" applyBorder="1" applyAlignment="1">
      <alignment horizontal="center"/>
    </xf>
    <xf numFmtId="0" fontId="5" fillId="10" borderId="27" xfId="8" applyFill="1" applyBorder="1" applyAlignment="1">
      <alignment horizontal="center"/>
    </xf>
    <xf numFmtId="0" fontId="8" fillId="10" borderId="27" xfId="8" applyFont="1" applyFill="1" applyBorder="1"/>
    <xf numFmtId="0" fontId="8" fillId="10" borderId="27" xfId="8" applyFont="1" applyFill="1" applyBorder="1" applyAlignment="1">
      <alignment horizontal="left"/>
    </xf>
    <xf numFmtId="0" fontId="5" fillId="0" borderId="0" xfId="8" applyAlignment="1">
      <alignment wrapText="1"/>
    </xf>
    <xf numFmtId="6" fontId="10" fillId="0" borderId="0" xfId="8" applyNumberFormat="1" applyFont="1" applyAlignment="1">
      <alignment horizontal="center" vertical="center"/>
    </xf>
    <xf numFmtId="6" fontId="5" fillId="0" borderId="0" xfId="8" applyNumberFormat="1" applyAlignment="1">
      <alignment horizontal="center" vertical="center"/>
    </xf>
    <xf numFmtId="0" fontId="5" fillId="0" borderId="0" xfId="8" applyAlignment="1">
      <alignment horizontal="center" vertical="center"/>
    </xf>
    <xf numFmtId="0" fontId="5" fillId="0" borderId="0" xfId="8" applyAlignment="1">
      <alignment vertical="center"/>
    </xf>
    <xf numFmtId="0" fontId="5" fillId="0" borderId="0" xfId="8" applyAlignment="1">
      <alignment horizontal="left"/>
    </xf>
    <xf numFmtId="6" fontId="5" fillId="0" borderId="0" xfId="8" applyNumberFormat="1" applyAlignment="1">
      <alignment horizontal="center"/>
    </xf>
    <xf numFmtId="0" fontId="5" fillId="0" borderId="0" xfId="8" applyAlignment="1">
      <alignment horizontal="center"/>
    </xf>
    <xf numFmtId="0" fontId="5" fillId="10" borderId="1" xfId="8" applyFill="1" applyBorder="1"/>
    <xf numFmtId="6" fontId="8" fillId="10" borderId="1" xfId="8" applyNumberFormat="1" applyFont="1" applyFill="1" applyBorder="1" applyAlignment="1">
      <alignment horizontal="center"/>
    </xf>
    <xf numFmtId="6" fontId="5" fillId="10" borderId="1" xfId="8" applyNumberFormat="1" applyFill="1" applyBorder="1" applyAlignment="1">
      <alignment horizontal="center"/>
    </xf>
    <xf numFmtId="0" fontId="5" fillId="10" borderId="1" xfId="8" applyFill="1" applyBorder="1" applyAlignment="1">
      <alignment horizontal="center"/>
    </xf>
    <xf numFmtId="0" fontId="8" fillId="10" borderId="1" xfId="8" applyFont="1" applyFill="1" applyBorder="1"/>
    <xf numFmtId="0" fontId="8" fillId="10" borderId="1" xfId="8" applyFont="1" applyFill="1" applyBorder="1" applyAlignment="1">
      <alignment horizontal="left"/>
    </xf>
    <xf numFmtId="6" fontId="10" fillId="0" borderId="0" xfId="8" applyNumberFormat="1" applyFont="1" applyAlignment="1">
      <alignment horizontal="center"/>
    </xf>
    <xf numFmtId="0" fontId="8" fillId="0" borderId="0" xfId="8" applyFont="1" applyAlignment="1">
      <alignment horizontal="center"/>
    </xf>
    <xf numFmtId="0" fontId="8" fillId="0" borderId="0" xfId="8" applyFont="1" applyAlignment="1">
      <alignment horizontal="left"/>
    </xf>
    <xf numFmtId="0" fontId="8" fillId="0" borderId="0" xfId="8" applyFont="1" applyAlignment="1">
      <alignment horizontal="center" vertical="center"/>
    </xf>
    <xf numFmtId="0" fontId="8" fillId="0" borderId="1" xfId="8" applyFont="1" applyBorder="1" applyAlignment="1">
      <alignment horizontal="center"/>
    </xf>
    <xf numFmtId="0" fontId="5" fillId="8" borderId="12" xfId="0" applyFont="1" applyFill="1" applyBorder="1" applyAlignment="1">
      <alignment horizontal="center"/>
    </xf>
    <xf numFmtId="6" fontId="20" fillId="11" borderId="0" xfId="0" applyNumberFormat="1" applyFont="1" applyFill="1" applyAlignment="1">
      <alignment horizontal="left" vertical="top"/>
    </xf>
    <xf numFmtId="0" fontId="4" fillId="11" borderId="0" xfId="0" applyFont="1" applyFill="1"/>
    <xf numFmtId="0" fontId="0" fillId="11" borderId="0" xfId="0" applyFill="1"/>
    <xf numFmtId="0" fontId="7" fillId="2" borderId="0" xfId="0" applyFont="1" applyFill="1"/>
    <xf numFmtId="0" fontId="6" fillId="2" borderId="0" xfId="0" applyFont="1" applyFill="1"/>
    <xf numFmtId="0" fontId="5" fillId="2" borderId="12" xfId="0" applyFont="1" applyFill="1" applyBorder="1"/>
    <xf numFmtId="0" fontId="0" fillId="2" borderId="12" xfId="0" applyFill="1" applyBorder="1"/>
    <xf numFmtId="164" fontId="5" fillId="9" borderId="12" xfId="3" applyNumberFormat="1" applyFont="1" applyFill="1" applyBorder="1" applyAlignment="1">
      <alignment horizontal="center"/>
    </xf>
    <xf numFmtId="0" fontId="5" fillId="2" borderId="12" xfId="0" applyFont="1" applyFill="1" applyBorder="1" applyAlignment="1">
      <alignment horizontal="left"/>
    </xf>
    <xf numFmtId="0" fontId="0" fillId="2" borderId="12" xfId="0" applyFill="1" applyBorder="1" applyAlignment="1">
      <alignment horizontal="left"/>
    </xf>
    <xf numFmtId="0" fontId="39" fillId="0" borderId="2" xfId="9" applyFont="1" applyBorder="1" applyAlignment="1">
      <alignment horizontal="left" vertical="center"/>
    </xf>
    <xf numFmtId="0" fontId="40" fillId="0" borderId="3" xfId="9" applyFont="1" applyBorder="1">
      <alignment vertical="center"/>
    </xf>
    <xf numFmtId="0" fontId="41" fillId="0" borderId="3" xfId="9" applyFont="1" applyBorder="1">
      <alignment vertical="center"/>
    </xf>
    <xf numFmtId="0" fontId="41" fillId="12" borderId="3" xfId="9" applyFont="1" applyFill="1" applyBorder="1">
      <alignment vertical="center"/>
    </xf>
    <xf numFmtId="0" fontId="42" fillId="0" borderId="3" xfId="9" applyFont="1" applyBorder="1">
      <alignment vertical="center"/>
    </xf>
    <xf numFmtId="0" fontId="42" fillId="0" borderId="4" xfId="9" applyFont="1" applyBorder="1" applyAlignment="1">
      <alignment horizontal="center"/>
    </xf>
    <xf numFmtId="0" fontId="12" fillId="0" borderId="0" xfId="9">
      <alignment vertical="center"/>
    </xf>
    <xf numFmtId="0" fontId="8" fillId="0" borderId="5" xfId="9" applyFont="1" applyBorder="1" applyAlignment="1">
      <alignment horizontal="left" vertical="center"/>
    </xf>
    <xf numFmtId="0" fontId="33" fillId="0" borderId="28" xfId="9" applyFont="1" applyBorder="1">
      <alignment vertical="center"/>
    </xf>
    <xf numFmtId="0" fontId="33" fillId="0" borderId="0" xfId="9" applyFont="1">
      <alignment vertical="center"/>
    </xf>
    <xf numFmtId="0" fontId="33" fillId="12" borderId="0" xfId="9" applyFont="1" applyFill="1">
      <alignment vertical="center"/>
    </xf>
    <xf numFmtId="0" fontId="33" fillId="0" borderId="6" xfId="9" applyFont="1" applyBorder="1">
      <alignment vertical="center"/>
    </xf>
    <xf numFmtId="0" fontId="12" fillId="0" borderId="29" xfId="9" applyBorder="1" applyAlignment="1">
      <alignment horizontal="left" vertical="center"/>
    </xf>
    <xf numFmtId="0" fontId="12" fillId="0" borderId="30" xfId="9" applyBorder="1">
      <alignment vertical="center"/>
    </xf>
    <xf numFmtId="0" fontId="43" fillId="0" borderId="30" xfId="9" applyFont="1" applyBorder="1" applyAlignment="1">
      <alignment horizontal="left" vertical="center"/>
    </xf>
    <xf numFmtId="0" fontId="12" fillId="0" borderId="31" xfId="9" applyBorder="1">
      <alignment vertical="center"/>
    </xf>
    <xf numFmtId="0" fontId="12" fillId="0" borderId="32" xfId="9" applyBorder="1">
      <alignment vertical="center"/>
    </xf>
    <xf numFmtId="0" fontId="12" fillId="12" borderId="30" xfId="9" applyFill="1" applyBorder="1">
      <alignment vertical="center"/>
    </xf>
    <xf numFmtId="14" fontId="12" fillId="0" borderId="33" xfId="9" quotePrefix="1" applyNumberFormat="1" applyBorder="1">
      <alignment vertical="center"/>
    </xf>
    <xf numFmtId="0" fontId="44" fillId="0" borderId="13" xfId="9" applyFont="1" applyBorder="1" applyAlignment="1">
      <alignment horizontal="left" vertical="center"/>
    </xf>
    <xf numFmtId="0" fontId="12" fillId="0" borderId="1" xfId="9" applyBorder="1">
      <alignment vertical="center"/>
    </xf>
    <xf numFmtId="0" fontId="12" fillId="0" borderId="1" xfId="9" applyBorder="1" applyAlignment="1">
      <alignment horizontal="left" vertical="center"/>
    </xf>
    <xf numFmtId="0" fontId="44" fillId="0" borderId="34" xfId="9" applyFont="1" applyBorder="1" applyAlignment="1">
      <alignment horizontal="left" vertical="center"/>
    </xf>
    <xf numFmtId="0" fontId="44" fillId="0" borderId="35" xfId="9" applyFont="1" applyBorder="1">
      <alignment vertical="center"/>
    </xf>
    <xf numFmtId="0" fontId="44" fillId="12" borderId="1" xfId="9" applyFont="1" applyFill="1" applyBorder="1">
      <alignment vertical="center"/>
    </xf>
    <xf numFmtId="0" fontId="44" fillId="0" borderId="1" xfId="9" quotePrefix="1" applyFont="1" applyBorder="1" applyAlignment="1">
      <alignment horizontal="left" vertical="center"/>
    </xf>
    <xf numFmtId="0" fontId="44" fillId="0" borderId="36" xfId="9" applyFont="1" applyBorder="1" applyAlignment="1">
      <alignment horizontal="left" vertical="center"/>
    </xf>
    <xf numFmtId="0" fontId="45" fillId="4" borderId="37" xfId="9" applyFont="1" applyFill="1" applyBorder="1" applyAlignment="1">
      <alignment horizontal="center" vertical="center"/>
    </xf>
    <xf numFmtId="3" fontId="12" fillId="4" borderId="41" xfId="9" applyNumberFormat="1" applyFill="1" applyBorder="1" applyAlignment="1">
      <alignment horizontal="center" vertical="center"/>
    </xf>
    <xf numFmtId="3" fontId="12" fillId="4" borderId="42" xfId="9" applyNumberFormat="1" applyFill="1" applyBorder="1" applyAlignment="1">
      <alignment horizontal="center" vertical="center"/>
    </xf>
    <xf numFmtId="7" fontId="47" fillId="4" borderId="41" xfId="9" applyNumberFormat="1" applyFont="1" applyFill="1" applyBorder="1" applyAlignment="1">
      <alignment horizontal="center" vertical="center"/>
    </xf>
    <xf numFmtId="44" fontId="12" fillId="4" borderId="41" xfId="9" applyNumberFormat="1" applyFill="1" applyBorder="1" applyAlignment="1">
      <alignment horizontal="right" vertical="center"/>
    </xf>
    <xf numFmtId="177" fontId="12" fillId="4" borderId="43" xfId="9" applyNumberFormat="1" applyFill="1" applyBorder="1" applyAlignment="1">
      <alignment horizontal="center" vertical="center"/>
    </xf>
    <xf numFmtId="0" fontId="48" fillId="0" borderId="44" xfId="9" applyFont="1" applyBorder="1" applyAlignment="1">
      <alignment horizontal="center" vertical="center"/>
    </xf>
    <xf numFmtId="0" fontId="48" fillId="0" borderId="45" xfId="9" applyFont="1" applyBorder="1" applyAlignment="1">
      <alignment horizontal="centerContinuous" vertical="center"/>
    </xf>
    <xf numFmtId="0" fontId="48" fillId="0" borderId="46" xfId="9" applyFont="1" applyBorder="1" applyAlignment="1">
      <alignment horizontal="centerContinuous" vertical="center"/>
    </xf>
    <xf numFmtId="0" fontId="48" fillId="0" borderId="46" xfId="9" applyFont="1" applyBorder="1" applyAlignment="1">
      <alignment horizontal="center" vertical="center"/>
    </xf>
    <xf numFmtId="0" fontId="48" fillId="12" borderId="46" xfId="9" applyFont="1" applyFill="1" applyBorder="1" applyAlignment="1">
      <alignment horizontal="center" vertical="center"/>
    </xf>
    <xf numFmtId="0" fontId="48" fillId="0" borderId="47" xfId="9" applyFont="1" applyBorder="1" applyAlignment="1">
      <alignment horizontal="center" vertical="center"/>
    </xf>
    <xf numFmtId="0" fontId="49" fillId="0" borderId="48" xfId="9" applyFont="1" applyBorder="1" applyAlignment="1">
      <alignment horizontal="center" vertical="center"/>
    </xf>
    <xf numFmtId="0" fontId="12" fillId="0" borderId="49" xfId="9" applyBorder="1" applyAlignment="1">
      <alignment horizontal="center" vertical="center"/>
    </xf>
    <xf numFmtId="0" fontId="12" fillId="0" borderId="0" xfId="9" applyAlignment="1">
      <alignment horizontal="left" vertical="center"/>
    </xf>
    <xf numFmtId="0" fontId="12" fillId="0" borderId="0" xfId="9" quotePrefix="1" applyAlignment="1">
      <alignment horizontal="left" vertical="center"/>
    </xf>
    <xf numFmtId="0" fontId="12" fillId="0" borderId="50" xfId="9" quotePrefix="1" applyBorder="1" applyAlignment="1">
      <alignment horizontal="left" vertical="center"/>
    </xf>
    <xf numFmtId="0" fontId="12" fillId="0" borderId="51" xfId="9" applyBorder="1" applyAlignment="1">
      <alignment horizontal="center" vertical="center"/>
    </xf>
    <xf numFmtId="178" fontId="12" fillId="0" borderId="51" xfId="9" applyNumberFormat="1" applyBorder="1" applyAlignment="1">
      <alignment horizontal="center" vertical="center"/>
    </xf>
    <xf numFmtId="7" fontId="47" fillId="12" borderId="0" xfId="9" applyNumberFormat="1" applyFont="1" applyFill="1" applyAlignment="1">
      <alignment horizontal="center" vertical="center"/>
    </xf>
    <xf numFmtId="166" fontId="12" fillId="0" borderId="50" xfId="9" applyNumberFormat="1" applyBorder="1" applyAlignment="1">
      <alignment horizontal="center" vertical="center"/>
    </xf>
    <xf numFmtId="166" fontId="12" fillId="0" borderId="6" xfId="9" applyNumberFormat="1" applyBorder="1" applyAlignment="1">
      <alignment horizontal="center" vertical="center"/>
    </xf>
    <xf numFmtId="0" fontId="49" fillId="0" borderId="0" xfId="9" applyFont="1">
      <alignment vertical="center"/>
    </xf>
    <xf numFmtId="0" fontId="12" fillId="0" borderId="37" xfId="9" applyBorder="1" applyAlignment="1">
      <alignment horizontal="center" vertical="center"/>
    </xf>
    <xf numFmtId="0" fontId="12" fillId="0" borderId="52" xfId="9" applyBorder="1">
      <alignment vertical="center"/>
    </xf>
    <xf numFmtId="0" fontId="12" fillId="0" borderId="52" xfId="9" applyBorder="1" applyAlignment="1">
      <alignment horizontal="left" vertical="center"/>
    </xf>
    <xf numFmtId="0" fontId="12" fillId="0" borderId="52" xfId="9" quotePrefix="1" applyBorder="1" applyAlignment="1">
      <alignment horizontal="left" vertical="center"/>
    </xf>
    <xf numFmtId="0" fontId="12" fillId="0" borderId="42" xfId="9" quotePrefix="1" applyBorder="1" applyAlignment="1">
      <alignment horizontal="left" vertical="center"/>
    </xf>
    <xf numFmtId="3" fontId="12" fillId="0" borderId="41" xfId="9" applyNumberFormat="1" applyBorder="1" applyAlignment="1">
      <alignment horizontal="center" vertical="center"/>
    </xf>
    <xf numFmtId="3" fontId="12" fillId="0" borderId="42" xfId="9" applyNumberFormat="1" applyBorder="1" applyAlignment="1">
      <alignment horizontal="center" vertical="center"/>
    </xf>
    <xf numFmtId="7" fontId="47" fillId="12" borderId="41" xfId="9" applyNumberFormat="1" applyFont="1" applyFill="1" applyBorder="1" applyAlignment="1">
      <alignment horizontal="center" vertical="center"/>
    </xf>
    <xf numFmtId="166" fontId="12" fillId="0" borderId="43" xfId="9" applyNumberFormat="1" applyBorder="1" applyAlignment="1">
      <alignment horizontal="center" vertical="center"/>
    </xf>
    <xf numFmtId="0" fontId="33" fillId="0" borderId="52" xfId="9" quotePrefix="1" applyFont="1" applyBorder="1" applyAlignment="1">
      <alignment horizontal="left" vertical="center"/>
    </xf>
    <xf numFmtId="166" fontId="33" fillId="0" borderId="43" xfId="9" applyNumberFormat="1" applyFont="1" applyBorder="1" applyAlignment="1">
      <alignment horizontal="center" vertical="center"/>
    </xf>
    <xf numFmtId="0" fontId="12" fillId="4" borderId="37" xfId="9" applyFill="1" applyBorder="1" applyAlignment="1">
      <alignment horizontal="center" vertical="center"/>
    </xf>
    <xf numFmtId="44" fontId="12" fillId="4" borderId="41" xfId="9" applyNumberFormat="1" applyFill="1" applyBorder="1" applyAlignment="1">
      <alignment horizontal="center" vertical="center"/>
    </xf>
    <xf numFmtId="44" fontId="12" fillId="4" borderId="43" xfId="9" applyNumberFormat="1" applyFill="1" applyBorder="1" applyAlignment="1">
      <alignment horizontal="center" vertical="center"/>
    </xf>
    <xf numFmtId="178" fontId="12" fillId="0" borderId="42" xfId="9" applyNumberFormat="1" applyBorder="1" applyAlignment="1">
      <alignment horizontal="center" vertical="center"/>
    </xf>
    <xf numFmtId="166" fontId="12" fillId="0" borderId="41" xfId="9" applyNumberFormat="1" applyBorder="1" applyAlignment="1">
      <alignment horizontal="center" vertical="center"/>
    </xf>
    <xf numFmtId="44" fontId="12" fillId="0" borderId="41" xfId="9" applyNumberFormat="1" applyBorder="1" applyAlignment="1">
      <alignment horizontal="center" vertical="center"/>
    </xf>
    <xf numFmtId="0" fontId="12" fillId="0" borderId="0" xfId="9" applyAlignment="1">
      <alignment horizontal="center" vertical="center"/>
    </xf>
    <xf numFmtId="44" fontId="12" fillId="0" borderId="0" xfId="9" applyNumberFormat="1">
      <alignment vertical="center"/>
    </xf>
    <xf numFmtId="0" fontId="45" fillId="0" borderId="5" xfId="9" applyFont="1" applyBorder="1" applyAlignment="1">
      <alignment horizontal="center" vertical="center"/>
    </xf>
    <xf numFmtId="0" fontId="45" fillId="0" borderId="0" xfId="9" applyFont="1">
      <alignment vertical="center"/>
    </xf>
    <xf numFmtId="0" fontId="45" fillId="0" borderId="0" xfId="9" applyFont="1" applyAlignment="1">
      <alignment horizontal="left" vertical="center"/>
    </xf>
    <xf numFmtId="0" fontId="45" fillId="0" borderId="42" xfId="9" quotePrefix="1" applyFont="1" applyBorder="1" applyAlignment="1">
      <alignment horizontal="left" vertical="center"/>
    </xf>
    <xf numFmtId="3" fontId="12" fillId="0" borderId="51" xfId="9" applyNumberFormat="1" applyBorder="1" applyAlignment="1">
      <alignment horizontal="center" vertical="center"/>
    </xf>
    <xf numFmtId="3" fontId="12" fillId="0" borderId="50" xfId="9" applyNumberFormat="1" applyBorder="1" applyAlignment="1">
      <alignment horizontal="center" vertical="center"/>
    </xf>
    <xf numFmtId="7" fontId="47" fillId="12" borderId="51" xfId="9" applyNumberFormat="1" applyFont="1" applyFill="1" applyBorder="1" applyAlignment="1">
      <alignment horizontal="center" vertical="center"/>
    </xf>
    <xf numFmtId="44" fontId="12" fillId="0" borderId="50" xfId="9" applyNumberFormat="1" applyBorder="1" applyAlignment="1">
      <alignment horizontal="center" vertical="center"/>
    </xf>
    <xf numFmtId="166" fontId="33" fillId="0" borderId="53" xfId="9" applyNumberFormat="1" applyFont="1" applyBorder="1" applyAlignment="1">
      <alignment horizontal="center" vertical="center"/>
    </xf>
    <xf numFmtId="0" fontId="12" fillId="0" borderId="5" xfId="9" applyBorder="1">
      <alignment vertical="center"/>
    </xf>
    <xf numFmtId="0" fontId="33" fillId="3" borderId="14" xfId="9" applyFont="1" applyFill="1" applyBorder="1">
      <alignment vertical="center"/>
    </xf>
    <xf numFmtId="0" fontId="33" fillId="3" borderId="10" xfId="9" applyFont="1" applyFill="1" applyBorder="1">
      <alignment vertical="center"/>
    </xf>
    <xf numFmtId="8" fontId="33" fillId="3" borderId="54" xfId="10" applyFont="1" applyFill="1" applyBorder="1" applyAlignment="1">
      <alignment horizontal="center" vertical="center"/>
    </xf>
    <xf numFmtId="166" fontId="33" fillId="3" borderId="55" xfId="9" applyNumberFormat="1" applyFont="1" applyFill="1" applyBorder="1" applyAlignment="1">
      <alignment horizontal="center" vertical="center"/>
    </xf>
    <xf numFmtId="0" fontId="12" fillId="0" borderId="56" xfId="9" applyBorder="1">
      <alignment vertical="center"/>
    </xf>
    <xf numFmtId="164" fontId="12" fillId="0" borderId="42" xfId="9" applyNumberFormat="1" applyBorder="1" applyAlignment="1">
      <alignment horizontal="center" vertical="center"/>
    </xf>
    <xf numFmtId="42" fontId="12" fillId="0" borderId="57" xfId="9" applyNumberFormat="1" applyBorder="1" applyAlignment="1">
      <alignment horizontal="center" vertical="center"/>
    </xf>
    <xf numFmtId="0" fontId="12" fillId="0" borderId="13" xfId="9" applyBorder="1">
      <alignment vertical="center"/>
    </xf>
    <xf numFmtId="0" fontId="33" fillId="3" borderId="58" xfId="9" applyFont="1" applyFill="1" applyBorder="1">
      <alignment vertical="center"/>
    </xf>
    <xf numFmtId="0" fontId="33" fillId="3" borderId="59" xfId="9" applyFont="1" applyFill="1" applyBorder="1">
      <alignment vertical="center"/>
    </xf>
    <xf numFmtId="8" fontId="33" fillId="3" borderId="60" xfId="10" applyFont="1" applyFill="1" applyBorder="1" applyAlignment="1">
      <alignment horizontal="center" vertical="center"/>
    </xf>
    <xf numFmtId="42" fontId="33" fillId="3" borderId="61" xfId="9" applyNumberFormat="1" applyFont="1" applyFill="1" applyBorder="1" applyAlignment="1">
      <alignment horizontal="center" vertical="center"/>
    </xf>
    <xf numFmtId="0" fontId="12" fillId="0" borderId="5" xfId="9" applyBorder="1" applyAlignment="1">
      <alignment horizontal="left" vertical="center"/>
    </xf>
    <xf numFmtId="0" fontId="12" fillId="0" borderId="62" xfId="9" applyBorder="1">
      <alignment vertical="center"/>
    </xf>
    <xf numFmtId="0" fontId="12" fillId="0" borderId="21" xfId="9" applyBorder="1">
      <alignment vertical="center"/>
    </xf>
    <xf numFmtId="164" fontId="12" fillId="0" borderId="63" xfId="9" applyNumberFormat="1" applyBorder="1" applyAlignment="1">
      <alignment horizontal="center" vertical="center"/>
    </xf>
    <xf numFmtId="42" fontId="12" fillId="0" borderId="64" xfId="9" applyNumberFormat="1" applyBorder="1" applyAlignment="1">
      <alignment horizontal="center" vertical="center"/>
    </xf>
    <xf numFmtId="0" fontId="33" fillId="10" borderId="65" xfId="9" applyFont="1" applyFill="1" applyBorder="1">
      <alignment vertical="center"/>
    </xf>
    <xf numFmtId="0" fontId="33" fillId="10" borderId="66" xfId="9" applyFont="1" applyFill="1" applyBorder="1">
      <alignment vertical="center"/>
    </xf>
    <xf numFmtId="9" fontId="33" fillId="10" borderId="67" xfId="9" applyNumberFormat="1" applyFont="1" applyFill="1" applyBorder="1" applyAlignment="1">
      <alignment horizontal="center" vertical="center"/>
    </xf>
    <xf numFmtId="42" fontId="33" fillId="10" borderId="68" xfId="9" applyNumberFormat="1" applyFont="1" applyFill="1" applyBorder="1" applyAlignment="1">
      <alignment horizontal="center" vertical="center"/>
    </xf>
    <xf numFmtId="9" fontId="12" fillId="0" borderId="0" xfId="9" applyNumberFormat="1" applyAlignment="1">
      <alignment horizontal="center" vertical="center"/>
    </xf>
    <xf numFmtId="42" fontId="12" fillId="0" borderId="6" xfId="9" applyNumberFormat="1" applyBorder="1" applyAlignment="1">
      <alignment horizontal="center" vertical="center"/>
    </xf>
    <xf numFmtId="43" fontId="0" fillId="0" borderId="0" xfId="11" applyFont="1" applyAlignment="1">
      <alignment vertical="center"/>
    </xf>
    <xf numFmtId="44" fontId="33" fillId="0" borderId="53" xfId="9" applyNumberFormat="1" applyFont="1" applyBorder="1" applyAlignment="1">
      <alignment horizontal="center" vertical="center"/>
    </xf>
    <xf numFmtId="180" fontId="33" fillId="3" borderId="55" xfId="9" applyNumberFormat="1" applyFont="1" applyFill="1" applyBorder="1" applyAlignment="1">
      <alignment horizontal="center" vertical="center"/>
    </xf>
    <xf numFmtId="180" fontId="33" fillId="3" borderId="61" xfId="9" applyNumberFormat="1" applyFont="1" applyFill="1" applyBorder="1" applyAlignment="1">
      <alignment horizontal="center" vertical="center"/>
    </xf>
    <xf numFmtId="0" fontId="21" fillId="2" borderId="5" xfId="2" applyFont="1" applyFill="1" applyBorder="1"/>
    <xf numFmtId="0" fontId="4" fillId="2" borderId="3" xfId="0" applyFont="1" applyFill="1" applyBorder="1"/>
    <xf numFmtId="0" fontId="4" fillId="2" borderId="4" xfId="0" applyFont="1" applyFill="1" applyBorder="1"/>
    <xf numFmtId="0" fontId="4" fillId="2" borderId="0" xfId="0" applyFont="1" applyFill="1"/>
    <xf numFmtId="0" fontId="26" fillId="2" borderId="0" xfId="0" applyFont="1" applyFill="1"/>
    <xf numFmtId="0" fontId="4" fillId="2" borderId="6" xfId="0" applyFont="1" applyFill="1" applyBorder="1"/>
    <xf numFmtId="6" fontId="5" fillId="2" borderId="0" xfId="0" applyNumberFormat="1" applyFont="1" applyFill="1"/>
    <xf numFmtId="0" fontId="8" fillId="2" borderId="5" xfId="2" applyFont="1" applyFill="1" applyBorder="1"/>
    <xf numFmtId="0" fontId="8" fillId="2" borderId="0" xfId="2" quotePrefix="1" applyFont="1" applyFill="1"/>
    <xf numFmtId="0" fontId="8" fillId="2" borderId="0" xfId="2" applyFont="1" applyFill="1"/>
    <xf numFmtId="0" fontId="4" fillId="2" borderId="5" xfId="0" applyFont="1" applyFill="1" applyBorder="1"/>
    <xf numFmtId="0" fontId="8" fillId="2" borderId="7" xfId="0" applyFont="1" applyFill="1" applyBorder="1" applyAlignment="1">
      <alignment horizontal="center" wrapText="1"/>
    </xf>
    <xf numFmtId="165" fontId="8" fillId="2" borderId="8" xfId="0" applyNumberFormat="1" applyFont="1" applyFill="1" applyBorder="1" applyAlignment="1">
      <alignment horizontal="center" wrapText="1"/>
    </xf>
    <xf numFmtId="6" fontId="8" fillId="2" borderId="8" xfId="0" applyNumberFormat="1" applyFont="1" applyFill="1" applyBorder="1" applyAlignment="1">
      <alignment horizontal="center" wrapText="1"/>
    </xf>
    <xf numFmtId="6" fontId="8" fillId="2" borderId="9" xfId="0" applyNumberFormat="1" applyFont="1" applyFill="1" applyBorder="1" applyAlignment="1">
      <alignment horizontal="center" wrapText="1"/>
    </xf>
    <xf numFmtId="0" fontId="5" fillId="2" borderId="12" xfId="0" applyFont="1" applyFill="1" applyBorder="1" applyAlignment="1">
      <alignment horizontal="center" wrapText="1"/>
    </xf>
    <xf numFmtId="165" fontId="5" fillId="2" borderId="12" xfId="0" applyNumberFormat="1" applyFont="1" applyFill="1" applyBorder="1" applyAlignment="1">
      <alignment horizontal="center" wrapText="1"/>
    </xf>
    <xf numFmtId="6" fontId="5" fillId="2" borderId="12" xfId="0" applyNumberFormat="1" applyFont="1" applyFill="1" applyBorder="1" applyAlignment="1">
      <alignment horizontal="right"/>
    </xf>
    <xf numFmtId="6" fontId="18" fillId="2" borderId="12" xfId="0" applyNumberFormat="1" applyFont="1" applyFill="1" applyBorder="1" applyAlignment="1">
      <alignment horizontal="right"/>
    </xf>
    <xf numFmtId="0" fontId="5" fillId="2" borderId="0" xfId="0" applyFont="1" applyFill="1" applyAlignment="1">
      <alignment horizontal="right"/>
    </xf>
    <xf numFmtId="10" fontId="5" fillId="2" borderId="0" xfId="0" applyNumberFormat="1" applyFont="1" applyFill="1" applyAlignment="1">
      <alignment horizontal="left"/>
    </xf>
    <xf numFmtId="165" fontId="5" fillId="2" borderId="12" xfId="0" applyNumberFormat="1" applyFont="1" applyFill="1" applyBorder="1" applyAlignment="1">
      <alignment horizontal="right" wrapText="1"/>
    </xf>
    <xf numFmtId="7" fontId="18" fillId="2" borderId="12" xfId="0" applyNumberFormat="1" applyFont="1" applyFill="1" applyBorder="1" applyAlignment="1">
      <alignment horizontal="right"/>
    </xf>
    <xf numFmtId="0" fontId="18" fillId="2" borderId="0" xfId="0" applyFont="1" applyFill="1"/>
    <xf numFmtId="0" fontId="23" fillId="2" borderId="0" xfId="0" applyFont="1" applyFill="1"/>
    <xf numFmtId="0" fontId="27" fillId="2" borderId="0" xfId="0" applyFont="1" applyFill="1"/>
    <xf numFmtId="0" fontId="18" fillId="2" borderId="0" xfId="0" applyFont="1" applyFill="1" applyAlignment="1">
      <alignment horizontal="left" vertical="top"/>
    </xf>
    <xf numFmtId="6" fontId="20" fillId="2" borderId="0" xfId="0" applyNumberFormat="1" applyFont="1" applyFill="1" applyAlignment="1">
      <alignment horizontal="left" vertical="top"/>
    </xf>
    <xf numFmtId="0" fontId="5" fillId="2" borderId="0" xfId="0" applyFont="1" applyFill="1" applyAlignment="1">
      <alignment wrapText="1"/>
    </xf>
    <xf numFmtId="0" fontId="4" fillId="2" borderId="0" xfId="0" applyFont="1" applyFill="1" applyAlignment="1">
      <alignment vertical="top" wrapText="1"/>
    </xf>
    <xf numFmtId="6" fontId="25" fillId="2" borderId="0" xfId="0" applyNumberFormat="1" applyFont="1" applyFill="1" applyAlignment="1">
      <alignment horizontal="left" vertical="top"/>
    </xf>
    <xf numFmtId="6" fontId="24" fillId="2" borderId="0" xfId="0" applyNumberFormat="1" applyFont="1" applyFill="1" applyAlignment="1">
      <alignment horizontal="left" vertical="top"/>
    </xf>
    <xf numFmtId="6" fontId="38" fillId="2" borderId="0" xfId="0" applyNumberFormat="1" applyFont="1" applyFill="1" applyAlignment="1">
      <alignment horizontal="left" vertical="top"/>
    </xf>
    <xf numFmtId="6" fontId="53" fillId="2" borderId="0" xfId="0" applyNumberFormat="1" applyFont="1" applyFill="1" applyAlignment="1">
      <alignment horizontal="left" vertical="top"/>
    </xf>
    <xf numFmtId="0" fontId="0" fillId="2" borderId="12" xfId="0" applyFill="1" applyBorder="1" applyAlignment="1">
      <alignment horizontal="center"/>
    </xf>
    <xf numFmtId="166" fontId="0" fillId="2" borderId="0" xfId="0" applyNumberFormat="1" applyFill="1"/>
    <xf numFmtId="0" fontId="54" fillId="2" borderId="0" xfId="0" applyFont="1" applyFill="1"/>
    <xf numFmtId="1" fontId="50" fillId="0" borderId="41" xfId="0" applyNumberFormat="1" applyFont="1" applyBorder="1" applyAlignment="1">
      <alignment horizontal="center" vertical="center"/>
    </xf>
    <xf numFmtId="3" fontId="12" fillId="0" borderId="41" xfId="0" applyNumberFormat="1" applyFont="1" applyBorder="1" applyAlignment="1">
      <alignment horizontal="center" vertical="center"/>
    </xf>
    <xf numFmtId="3" fontId="50" fillId="0" borderId="41" xfId="0" applyNumberFormat="1" applyFont="1" applyBorder="1" applyAlignment="1">
      <alignment horizontal="center" vertical="center"/>
    </xf>
    <xf numFmtId="0" fontId="12" fillId="0" borderId="41" xfId="0" applyFont="1" applyBorder="1" applyAlignment="1">
      <alignment horizontal="center" vertical="center"/>
    </xf>
    <xf numFmtId="179" fontId="50" fillId="0" borderId="41" xfId="0" applyNumberFormat="1" applyFont="1" applyBorder="1" applyAlignment="1">
      <alignment horizontal="center" vertical="center"/>
    </xf>
    <xf numFmtId="0" fontId="12" fillId="0" borderId="71" xfId="9" applyBorder="1" applyAlignment="1">
      <alignment horizontal="center" vertical="center"/>
    </xf>
    <xf numFmtId="0" fontId="12" fillId="0" borderId="72" xfId="9" applyBorder="1">
      <alignment vertical="center"/>
    </xf>
    <xf numFmtId="0" fontId="12" fillId="0" borderId="72" xfId="9" applyBorder="1" applyAlignment="1">
      <alignment horizontal="left" vertical="center"/>
    </xf>
    <xf numFmtId="0" fontId="12" fillId="0" borderId="72" xfId="9" quotePrefix="1" applyBorder="1" applyAlignment="1">
      <alignment horizontal="left" vertical="center"/>
    </xf>
    <xf numFmtId="0" fontId="12" fillId="0" borderId="73" xfId="9" quotePrefix="1" applyBorder="1" applyAlignment="1">
      <alignment horizontal="left" vertical="center"/>
    </xf>
    <xf numFmtId="0" fontId="12" fillId="0" borderId="74" xfId="0" applyFont="1" applyBorder="1" applyAlignment="1">
      <alignment horizontal="center" vertical="center"/>
    </xf>
    <xf numFmtId="3" fontId="12" fillId="0" borderId="73" xfId="9" applyNumberFormat="1" applyBorder="1" applyAlignment="1">
      <alignment horizontal="center" vertical="center"/>
    </xf>
    <xf numFmtId="7" fontId="47" fillId="12" borderId="74" xfId="9" applyNumberFormat="1" applyFont="1" applyFill="1" applyBorder="1" applyAlignment="1">
      <alignment horizontal="center" vertical="center"/>
    </xf>
    <xf numFmtId="166" fontId="12" fillId="0" borderId="74" xfId="9" applyNumberFormat="1" applyBorder="1" applyAlignment="1">
      <alignment horizontal="center" vertical="center"/>
    </xf>
    <xf numFmtId="166" fontId="12" fillId="0" borderId="75" xfId="9" applyNumberFormat="1" applyBorder="1" applyAlignment="1">
      <alignment horizontal="center" vertical="center"/>
    </xf>
    <xf numFmtId="0" fontId="12" fillId="4" borderId="43" xfId="9" applyFill="1" applyBorder="1" applyAlignment="1">
      <alignment horizontal="center" vertical="center"/>
    </xf>
    <xf numFmtId="1" fontId="50" fillId="0" borderId="41" xfId="9" applyNumberFormat="1" applyFont="1" applyBorder="1" applyAlignment="1">
      <alignment horizontal="center" vertical="center"/>
    </xf>
    <xf numFmtId="3" fontId="12" fillId="12" borderId="42" xfId="9" applyNumberFormat="1" applyFill="1" applyBorder="1" applyAlignment="1">
      <alignment horizontal="center" vertical="center"/>
    </xf>
    <xf numFmtId="0" fontId="12" fillId="0" borderId="41" xfId="9" applyBorder="1" applyAlignment="1">
      <alignment horizontal="center" vertical="center"/>
    </xf>
    <xf numFmtId="3" fontId="50" fillId="0" borderId="41" xfId="9" applyNumberFormat="1" applyFont="1" applyBorder="1" applyAlignment="1">
      <alignment horizontal="center" vertical="center"/>
    </xf>
    <xf numFmtId="0" fontId="45" fillId="0" borderId="37" xfId="9" applyFont="1" applyBorder="1" applyAlignment="1">
      <alignment horizontal="center" vertical="center"/>
    </xf>
    <xf numFmtId="0" fontId="45" fillId="0" borderId="52" xfId="9" applyFont="1" applyBorder="1">
      <alignment vertical="center"/>
    </xf>
    <xf numFmtId="0" fontId="45" fillId="0" borderId="52" xfId="9" applyFont="1" applyBorder="1" applyAlignment="1">
      <alignment horizontal="left" vertical="center"/>
    </xf>
    <xf numFmtId="0" fontId="55" fillId="0" borderId="42" xfId="9" quotePrefix="1" applyFont="1" applyBorder="1" applyAlignment="1">
      <alignment horizontal="left" vertical="center"/>
    </xf>
    <xf numFmtId="0" fontId="33" fillId="0" borderId="41" xfId="9" applyFont="1" applyBorder="1" applyAlignment="1">
      <alignment horizontal="center" vertical="center"/>
    </xf>
    <xf numFmtId="3" fontId="33" fillId="0" borderId="42" xfId="9" applyNumberFormat="1" applyFont="1" applyBorder="1" applyAlignment="1">
      <alignment horizontal="center" vertical="center"/>
    </xf>
    <xf numFmtId="7" fontId="44" fillId="12" borderId="41" xfId="9" applyNumberFormat="1" applyFont="1" applyFill="1" applyBorder="1" applyAlignment="1">
      <alignment horizontal="center" vertical="center"/>
    </xf>
    <xf numFmtId="44" fontId="33" fillId="0" borderId="41" xfId="9" applyNumberFormat="1" applyFont="1" applyBorder="1" applyAlignment="1">
      <alignment horizontal="center" vertical="center"/>
    </xf>
    <xf numFmtId="181" fontId="49" fillId="0" borderId="0" xfId="9" applyNumberFormat="1" applyFont="1" applyAlignment="1">
      <alignment horizontal="left" vertical="center"/>
    </xf>
    <xf numFmtId="0" fontId="12" fillId="4" borderId="41" xfId="9" applyFill="1" applyBorder="1" applyAlignment="1">
      <alignment horizontal="center" vertical="center"/>
    </xf>
    <xf numFmtId="0" fontId="33" fillId="0" borderId="72" xfId="9" quotePrefix="1" applyFont="1" applyBorder="1" applyAlignment="1">
      <alignment horizontal="left" vertical="center"/>
    </xf>
    <xf numFmtId="0" fontId="12" fillId="0" borderId="76" xfId="9" applyBorder="1" applyAlignment="1">
      <alignment horizontal="center" vertical="center"/>
    </xf>
    <xf numFmtId="3" fontId="12" fillId="0" borderId="72" xfId="9" applyNumberFormat="1" applyBorder="1" applyAlignment="1">
      <alignment horizontal="center" vertical="center"/>
    </xf>
    <xf numFmtId="7" fontId="47" fillId="12" borderId="72" xfId="9" applyNumberFormat="1" applyFont="1" applyFill="1" applyBorder="1" applyAlignment="1">
      <alignment horizontal="center" vertical="center"/>
    </xf>
    <xf numFmtId="44" fontId="12" fillId="0" borderId="73" xfId="9" applyNumberFormat="1" applyBorder="1" applyAlignment="1">
      <alignment horizontal="center" vertical="center"/>
    </xf>
    <xf numFmtId="166" fontId="33" fillId="0" borderId="77" xfId="9" applyNumberFormat="1" applyFont="1" applyBorder="1" applyAlignment="1">
      <alignment horizontal="center" vertical="center"/>
    </xf>
    <xf numFmtId="42" fontId="33" fillId="3" borderId="55" xfId="9" applyNumberFormat="1" applyFont="1" applyFill="1" applyBorder="1" applyAlignment="1">
      <alignment horizontal="center" vertical="center"/>
    </xf>
    <xf numFmtId="0" fontId="5" fillId="0" borderId="0" xfId="7"/>
    <xf numFmtId="0" fontId="39" fillId="0" borderId="2" xfId="0" applyFont="1" applyBorder="1" applyAlignment="1">
      <alignment horizontal="left" vertical="center"/>
    </xf>
    <xf numFmtId="0" fontId="40" fillId="0" borderId="3" xfId="0" applyFont="1" applyBorder="1" applyAlignment="1">
      <alignment vertical="center"/>
    </xf>
    <xf numFmtId="0" fontId="41" fillId="0" borderId="3" xfId="0" applyFont="1" applyBorder="1" applyAlignment="1">
      <alignment vertical="center"/>
    </xf>
    <xf numFmtId="0" fontId="41" fillId="12" borderId="3" xfId="0" applyFont="1" applyFill="1" applyBorder="1" applyAlignment="1">
      <alignment vertical="center"/>
    </xf>
    <xf numFmtId="0" fontId="42" fillId="0" borderId="3" xfId="0" applyFont="1" applyBorder="1" applyAlignment="1">
      <alignment vertical="center"/>
    </xf>
    <xf numFmtId="0" fontId="42" fillId="0" borderId="4" xfId="0" applyFont="1" applyBorder="1" applyAlignment="1">
      <alignment horizontal="center"/>
    </xf>
    <xf numFmtId="0" fontId="0" fillId="0" borderId="0" xfId="0" applyAlignment="1">
      <alignment vertical="center"/>
    </xf>
    <xf numFmtId="0" fontId="8" fillId="0" borderId="5" xfId="0" applyFont="1" applyBorder="1" applyAlignment="1">
      <alignment horizontal="left" vertical="center"/>
    </xf>
    <xf numFmtId="0" fontId="33" fillId="0" borderId="28" xfId="0" applyFont="1" applyBorder="1" applyAlignment="1">
      <alignment vertical="center"/>
    </xf>
    <xf numFmtId="0" fontId="12" fillId="0" borderId="0" xfId="0" applyFont="1" applyAlignment="1">
      <alignment vertical="center"/>
    </xf>
    <xf numFmtId="0" fontId="33" fillId="0" borderId="0" xfId="0" applyFont="1" applyAlignment="1">
      <alignment vertical="center"/>
    </xf>
    <xf numFmtId="0" fontId="33" fillId="12" borderId="0" xfId="0" applyFont="1" applyFill="1" applyAlignment="1">
      <alignment vertical="center"/>
    </xf>
    <xf numFmtId="0" fontId="33" fillId="0" borderId="6" xfId="0" applyFont="1" applyBorder="1" applyAlignment="1">
      <alignment vertical="center"/>
    </xf>
    <xf numFmtId="0" fontId="33" fillId="5" borderId="29" xfId="0" applyFont="1" applyFill="1" applyBorder="1" applyAlignment="1">
      <alignment horizontal="left" vertical="center"/>
    </xf>
    <xf numFmtId="0" fontId="33" fillId="5" borderId="30" xfId="0" applyFont="1" applyFill="1" applyBorder="1" applyAlignment="1">
      <alignment vertical="center"/>
    </xf>
    <xf numFmtId="0" fontId="57" fillId="5" borderId="30" xfId="0" applyFont="1" applyFill="1" applyBorder="1" applyAlignment="1">
      <alignment horizontal="left" vertical="center"/>
    </xf>
    <xf numFmtId="0" fontId="33" fillId="5" borderId="31" xfId="0" applyFont="1" applyFill="1" applyBorder="1" applyAlignment="1">
      <alignment vertical="center"/>
    </xf>
    <xf numFmtId="0" fontId="33" fillId="5" borderId="32" xfId="0" applyFont="1" applyFill="1" applyBorder="1" applyAlignment="1">
      <alignment vertical="center"/>
    </xf>
    <xf numFmtId="14" fontId="33" fillId="5" borderId="33" xfId="0" quotePrefix="1" applyNumberFormat="1" applyFont="1" applyFill="1" applyBorder="1" applyAlignment="1">
      <alignment vertical="center"/>
    </xf>
    <xf numFmtId="0" fontId="33" fillId="5" borderId="13" xfId="0" applyFont="1" applyFill="1" applyBorder="1" applyAlignment="1">
      <alignment horizontal="left" vertical="center"/>
    </xf>
    <xf numFmtId="0" fontId="33" fillId="5" borderId="1" xfId="0" applyFont="1" applyFill="1" applyBorder="1" applyAlignment="1">
      <alignment vertical="center"/>
    </xf>
    <xf numFmtId="0" fontId="33" fillId="5" borderId="1" xfId="0" applyFont="1" applyFill="1" applyBorder="1" applyAlignment="1">
      <alignment horizontal="left" vertical="center"/>
    </xf>
    <xf numFmtId="0" fontId="33" fillId="5" borderId="34" xfId="0" applyFont="1" applyFill="1" applyBorder="1" applyAlignment="1">
      <alignment horizontal="left" vertical="center"/>
    </xf>
    <xf numFmtId="0" fontId="33" fillId="5" borderId="35" xfId="0" applyFont="1" applyFill="1" applyBorder="1" applyAlignment="1">
      <alignment vertical="center"/>
    </xf>
    <xf numFmtId="14" fontId="33" fillId="5" borderId="1" xfId="0" quotePrefix="1" applyNumberFormat="1" applyFont="1" applyFill="1" applyBorder="1" applyAlignment="1">
      <alignment horizontal="left" vertical="center"/>
    </xf>
    <xf numFmtId="0" fontId="33" fillId="5" borderId="36" xfId="0" applyFont="1" applyFill="1" applyBorder="1" applyAlignment="1">
      <alignment horizontal="left" vertical="center"/>
    </xf>
    <xf numFmtId="0" fontId="45" fillId="4" borderId="37" xfId="0" applyFont="1" applyFill="1" applyBorder="1" applyAlignment="1">
      <alignment horizontal="center" vertical="center"/>
    </xf>
    <xf numFmtId="3" fontId="12" fillId="4" borderId="41" xfId="0" applyNumberFormat="1" applyFont="1" applyFill="1" applyBorder="1" applyAlignment="1">
      <alignment horizontal="center" vertical="center"/>
    </xf>
    <xf numFmtId="3" fontId="0" fillId="4" borderId="42" xfId="0" applyNumberFormat="1" applyFill="1" applyBorder="1" applyAlignment="1">
      <alignment horizontal="center" vertical="center"/>
    </xf>
    <xf numFmtId="7" fontId="47" fillId="4" borderId="41" xfId="0" applyNumberFormat="1" applyFont="1" applyFill="1" applyBorder="1" applyAlignment="1">
      <alignment horizontal="center" vertical="center"/>
    </xf>
    <xf numFmtId="44" fontId="0" fillId="4" borderId="41" xfId="0" applyNumberFormat="1" applyFill="1" applyBorder="1" applyAlignment="1">
      <alignment horizontal="right" vertical="center"/>
    </xf>
    <xf numFmtId="177" fontId="0" fillId="4" borderId="43" xfId="0" applyNumberFormat="1" applyFill="1" applyBorder="1" applyAlignment="1">
      <alignment horizontal="center" vertical="center"/>
    </xf>
    <xf numFmtId="0" fontId="59" fillId="0" borderId="44" xfId="0" applyFont="1" applyBorder="1" applyAlignment="1">
      <alignment horizontal="center" vertical="center"/>
    </xf>
    <xf numFmtId="0" fontId="59" fillId="0" borderId="45" xfId="0" applyFont="1" applyBorder="1" applyAlignment="1">
      <alignment horizontal="centerContinuous" vertical="center"/>
    </xf>
    <xf numFmtId="0" fontId="59" fillId="0" borderId="46" xfId="0" applyFont="1" applyBorder="1" applyAlignment="1">
      <alignment horizontal="centerContinuous" vertical="center"/>
    </xf>
    <xf numFmtId="0" fontId="59" fillId="0" borderId="46" xfId="0" applyFont="1" applyBorder="1" applyAlignment="1">
      <alignment horizontal="center" vertical="center"/>
    </xf>
    <xf numFmtId="0" fontId="59" fillId="12" borderId="46" xfId="0" applyFont="1" applyFill="1" applyBorder="1" applyAlignment="1">
      <alignment horizontal="center" vertical="center"/>
    </xf>
    <xf numFmtId="0" fontId="59" fillId="0" borderId="47" xfId="0" applyFont="1" applyBorder="1" applyAlignment="1">
      <alignment horizontal="center" vertical="center"/>
    </xf>
    <xf numFmtId="0" fontId="49" fillId="0" borderId="48" xfId="0" applyFont="1" applyBorder="1" applyAlignment="1">
      <alignment horizontal="center" vertical="center"/>
    </xf>
    <xf numFmtId="0" fontId="0" fillId="0" borderId="37" xfId="0" applyBorder="1" applyAlignment="1">
      <alignment horizontal="center" vertical="center"/>
    </xf>
    <xf numFmtId="0" fontId="0" fillId="0" borderId="52" xfId="0" applyBorder="1" applyAlignment="1">
      <alignment vertical="center"/>
    </xf>
    <xf numFmtId="0" fontId="0" fillId="0" borderId="52" xfId="0" applyBorder="1" applyAlignment="1">
      <alignment horizontal="left" vertical="center"/>
    </xf>
    <xf numFmtId="0" fontId="0" fillId="0" borderId="52" xfId="0" quotePrefix="1" applyBorder="1" applyAlignment="1">
      <alignment horizontal="left" vertical="center"/>
    </xf>
    <xf numFmtId="0" fontId="0" fillId="0" borderId="42" xfId="0" quotePrefix="1" applyBorder="1" applyAlignment="1">
      <alignment horizontal="left" vertical="center"/>
    </xf>
    <xf numFmtId="3" fontId="0" fillId="0" borderId="42" xfId="0" applyNumberFormat="1" applyBorder="1" applyAlignment="1">
      <alignment horizontal="center" vertical="center"/>
    </xf>
    <xf numFmtId="7" fontId="47" fillId="12" borderId="0" xfId="0" applyNumberFormat="1" applyFont="1" applyFill="1" applyAlignment="1">
      <alignment horizontal="center" vertical="center"/>
    </xf>
    <xf numFmtId="166" fontId="0" fillId="0" borderId="41" xfId="0" applyNumberFormat="1" applyBorder="1" applyAlignment="1">
      <alignment horizontal="center" vertical="center"/>
    </xf>
    <xf numFmtId="166" fontId="0" fillId="0" borderId="6" xfId="0" applyNumberFormat="1" applyBorder="1" applyAlignment="1">
      <alignment horizontal="center" vertical="center"/>
    </xf>
    <xf numFmtId="0" fontId="49" fillId="0" borderId="0" xfId="0" applyFont="1" applyAlignment="1">
      <alignment vertical="center"/>
    </xf>
    <xf numFmtId="7" fontId="47" fillId="12" borderId="41" xfId="0" applyNumberFormat="1" applyFont="1" applyFill="1" applyBorder="1" applyAlignment="1">
      <alignment horizontal="center" vertical="center"/>
    </xf>
    <xf numFmtId="166" fontId="0" fillId="0" borderId="43" xfId="0" applyNumberFormat="1" applyBorder="1" applyAlignment="1">
      <alignment horizontal="center" vertical="center"/>
    </xf>
    <xf numFmtId="0" fontId="33" fillId="0" borderId="52" xfId="0" quotePrefix="1" applyFont="1" applyBorder="1" applyAlignment="1">
      <alignment horizontal="left" vertical="center"/>
    </xf>
    <xf numFmtId="166" fontId="0" fillId="0" borderId="50" xfId="0" applyNumberFormat="1" applyBorder="1" applyAlignment="1">
      <alignment horizontal="center" vertical="center"/>
    </xf>
    <xf numFmtId="166" fontId="33" fillId="0" borderId="43" xfId="0" applyNumberFormat="1" applyFont="1" applyBorder="1" applyAlignment="1">
      <alignment horizontal="center" vertical="center"/>
    </xf>
    <xf numFmtId="0" fontId="0" fillId="4" borderId="37" xfId="0" applyFill="1" applyBorder="1" applyAlignment="1">
      <alignment horizontal="center" vertical="center"/>
    </xf>
    <xf numFmtId="44" fontId="0" fillId="4" borderId="41" xfId="0" applyNumberFormat="1" applyFill="1" applyBorder="1" applyAlignment="1">
      <alignment horizontal="center" vertical="center"/>
    </xf>
    <xf numFmtId="44" fontId="0" fillId="4" borderId="43" xfId="0" applyNumberFormat="1" applyFill="1" applyBorder="1" applyAlignment="1">
      <alignment horizontal="center" vertical="center"/>
    </xf>
    <xf numFmtId="178" fontId="0" fillId="0" borderId="42" xfId="0" applyNumberFormat="1" applyBorder="1" applyAlignment="1">
      <alignment horizontal="center" vertical="center"/>
    </xf>
    <xf numFmtId="44" fontId="0" fillId="0" borderId="4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vertical="center"/>
    </xf>
    <xf numFmtId="0" fontId="0" fillId="0" borderId="72" xfId="0" applyBorder="1" applyAlignment="1">
      <alignment horizontal="left" vertical="center"/>
    </xf>
    <xf numFmtId="0" fontId="45" fillId="0" borderId="5" xfId="0" applyFont="1" applyBorder="1" applyAlignment="1">
      <alignment horizontal="center" vertical="center"/>
    </xf>
    <xf numFmtId="0" fontId="45" fillId="0" borderId="0" xfId="0" applyFont="1" applyAlignment="1">
      <alignment vertical="center"/>
    </xf>
    <xf numFmtId="0" fontId="45" fillId="0" borderId="0" xfId="0" applyFont="1" applyAlignment="1">
      <alignment horizontal="left" vertical="center"/>
    </xf>
    <xf numFmtId="0" fontId="33" fillId="5" borderId="78" xfId="0" quotePrefix="1" applyFont="1" applyFill="1" applyBorder="1" applyAlignment="1">
      <alignment horizontal="left" vertical="center"/>
    </xf>
    <xf numFmtId="0" fontId="45" fillId="5" borderId="63" xfId="0" quotePrefix="1" applyFont="1" applyFill="1" applyBorder="1" applyAlignment="1">
      <alignment horizontal="left" vertical="center"/>
    </xf>
    <xf numFmtId="3" fontId="12" fillId="5" borderId="12" xfId="0" applyNumberFormat="1" applyFont="1" applyFill="1" applyBorder="1" applyAlignment="1">
      <alignment horizontal="center" vertical="center"/>
    </xf>
    <xf numFmtId="3" fontId="0" fillId="5" borderId="63" xfId="0" applyNumberFormat="1" applyFill="1" applyBorder="1" applyAlignment="1">
      <alignment horizontal="center" vertical="center"/>
    </xf>
    <xf numFmtId="7" fontId="47" fillId="5" borderId="12" xfId="0" applyNumberFormat="1" applyFont="1" applyFill="1" applyBorder="1" applyAlignment="1">
      <alignment horizontal="center" vertical="center"/>
    </xf>
    <xf numFmtId="44" fontId="0" fillId="5" borderId="63" xfId="0" applyNumberFormat="1" applyFill="1" applyBorder="1" applyAlignment="1">
      <alignment horizontal="center" vertical="center"/>
    </xf>
    <xf numFmtId="44" fontId="33" fillId="5" borderId="25" xfId="0" applyNumberFormat="1" applyFont="1" applyFill="1" applyBorder="1" applyAlignment="1">
      <alignment horizontal="center" vertical="center"/>
    </xf>
    <xf numFmtId="44" fontId="0" fillId="0" borderId="0" xfId="0" applyNumberFormat="1" applyAlignment="1">
      <alignment vertical="center"/>
    </xf>
    <xf numFmtId="0" fontId="0" fillId="0" borderId="5" xfId="0" applyBorder="1" applyAlignment="1">
      <alignment vertical="center"/>
    </xf>
    <xf numFmtId="0" fontId="33" fillId="3" borderId="78" xfId="0" applyFont="1" applyFill="1" applyBorder="1" applyAlignment="1">
      <alignment vertical="center"/>
    </xf>
    <xf numFmtId="0" fontId="33" fillId="3" borderId="21" xfId="0" applyFont="1" applyFill="1" applyBorder="1" applyAlignment="1">
      <alignment vertical="center"/>
    </xf>
    <xf numFmtId="8" fontId="33" fillId="3" borderId="63" xfId="10" applyFont="1" applyFill="1" applyBorder="1" applyAlignment="1">
      <alignment horizontal="center" vertical="center"/>
    </xf>
    <xf numFmtId="180" fontId="33" fillId="3" borderId="64" xfId="0" applyNumberFormat="1" applyFont="1" applyFill="1" applyBorder="1" applyAlignment="1">
      <alignment horizontal="center" vertical="center"/>
    </xf>
    <xf numFmtId="0" fontId="0" fillId="0" borderId="79" xfId="0" applyBorder="1" applyAlignment="1">
      <alignment vertical="center"/>
    </xf>
    <xf numFmtId="0" fontId="12" fillId="0" borderId="52" xfId="0" applyFont="1" applyBorder="1" applyAlignment="1">
      <alignment vertical="center"/>
    </xf>
    <xf numFmtId="164" fontId="12" fillId="0" borderId="42" xfId="0" applyNumberFormat="1" applyFont="1" applyBorder="1" applyAlignment="1">
      <alignment horizontal="center" vertical="center"/>
    </xf>
    <xf numFmtId="42" fontId="12" fillId="0" borderId="57" xfId="0" applyNumberFormat="1" applyFont="1" applyBorder="1" applyAlignment="1">
      <alignment horizontal="center" vertical="center"/>
    </xf>
    <xf numFmtId="0" fontId="0" fillId="0" borderId="13" xfId="0" applyBorder="1" applyAlignment="1">
      <alignment vertical="center"/>
    </xf>
    <xf numFmtId="0" fontId="0" fillId="0" borderId="1" xfId="0" applyBorder="1" applyAlignment="1">
      <alignment vertical="center"/>
    </xf>
    <xf numFmtId="0" fontId="33" fillId="3" borderId="80" xfId="0" applyFont="1" applyFill="1" applyBorder="1" applyAlignment="1">
      <alignment vertical="center"/>
    </xf>
    <xf numFmtId="0" fontId="33" fillId="3" borderId="59" xfId="0" applyFont="1" applyFill="1" applyBorder="1" applyAlignment="1">
      <alignment vertical="center"/>
    </xf>
    <xf numFmtId="180" fontId="33" fillId="3" borderId="61" xfId="0" applyNumberFormat="1" applyFont="1" applyFill="1" applyBorder="1" applyAlignment="1">
      <alignment horizontal="center" vertical="center"/>
    </xf>
    <xf numFmtId="0" fontId="12" fillId="0" borderId="5" xfId="0" applyFont="1" applyBorder="1" applyAlignment="1">
      <alignment horizontal="left" vertical="center"/>
    </xf>
    <xf numFmtId="0" fontId="0" fillId="0" borderId="78" xfId="0" applyBorder="1" applyAlignment="1">
      <alignment vertical="center"/>
    </xf>
    <xf numFmtId="0" fontId="12" fillId="0" borderId="21" xfId="0" applyFont="1" applyBorder="1" applyAlignment="1">
      <alignment vertical="center"/>
    </xf>
    <xf numFmtId="164" fontId="12" fillId="0" borderId="63" xfId="0" applyNumberFormat="1" applyFont="1" applyBorder="1" applyAlignment="1">
      <alignment horizontal="center" vertical="center"/>
    </xf>
    <xf numFmtId="42" fontId="12" fillId="0" borderId="64" xfId="0" applyNumberFormat="1" applyFont="1" applyBorder="1" applyAlignment="1">
      <alignment horizontal="center" vertical="center"/>
    </xf>
    <xf numFmtId="0" fontId="12" fillId="0" borderId="1" xfId="0" applyFont="1" applyBorder="1" applyAlignment="1">
      <alignment vertical="center"/>
    </xf>
    <xf numFmtId="0" fontId="33" fillId="10" borderId="78" xfId="0" applyFont="1" applyFill="1" applyBorder="1" applyAlignment="1">
      <alignment vertical="center"/>
    </xf>
    <xf numFmtId="0" fontId="33" fillId="10" borderId="21" xfId="0" applyFont="1" applyFill="1" applyBorder="1" applyAlignment="1">
      <alignment vertical="center"/>
    </xf>
    <xf numFmtId="9" fontId="33" fillId="10" borderId="63" xfId="0" applyNumberFormat="1" applyFont="1" applyFill="1" applyBorder="1" applyAlignment="1">
      <alignment horizontal="center" vertical="center"/>
    </xf>
    <xf numFmtId="42" fontId="33" fillId="10" borderId="64" xfId="0" applyNumberFormat="1" applyFont="1" applyFill="1" applyBorder="1" applyAlignment="1">
      <alignment horizontal="center" vertical="center"/>
    </xf>
    <xf numFmtId="0" fontId="12" fillId="0" borderId="5" xfId="0" applyFont="1" applyBorder="1" applyAlignment="1">
      <alignment vertical="center"/>
    </xf>
    <xf numFmtId="9" fontId="12" fillId="0" borderId="0" xfId="0" applyNumberFormat="1" applyFont="1" applyAlignment="1">
      <alignment horizontal="center" vertical="center"/>
    </xf>
    <xf numFmtId="42" fontId="12" fillId="0" borderId="6" xfId="0" applyNumberFormat="1" applyFont="1" applyBorder="1" applyAlignment="1">
      <alignment horizontal="center" vertical="center"/>
    </xf>
    <xf numFmtId="0" fontId="8" fillId="15" borderId="0" xfId="0" applyFont="1" applyFill="1"/>
    <xf numFmtId="10" fontId="18" fillId="2" borderId="12" xfId="16" applyNumberFormat="1" applyFont="1" applyFill="1" applyBorder="1" applyAlignment="1">
      <alignment horizontal="center"/>
    </xf>
    <xf numFmtId="0" fontId="2" fillId="0" borderId="0" xfId="17"/>
    <xf numFmtId="7" fontId="77" fillId="7" borderId="12" xfId="0" applyNumberFormat="1" applyFont="1" applyFill="1" applyBorder="1" applyAlignment="1">
      <alignment horizontal="right"/>
    </xf>
    <xf numFmtId="0" fontId="78" fillId="0" borderId="0" xfId="0" applyFont="1"/>
    <xf numFmtId="0" fontId="22" fillId="17" borderId="19" xfId="0" applyFont="1" applyFill="1" applyBorder="1"/>
    <xf numFmtId="0" fontId="8" fillId="17" borderId="20" xfId="0" applyFont="1" applyFill="1" applyBorder="1"/>
    <xf numFmtId="44" fontId="8" fillId="17" borderId="20" xfId="0" applyNumberFormat="1" applyFont="1" applyFill="1" applyBorder="1"/>
    <xf numFmtId="0" fontId="22" fillId="18" borderId="19" xfId="0" applyFont="1" applyFill="1" applyBorder="1"/>
    <xf numFmtId="0" fontId="8" fillId="18" borderId="20" xfId="0" applyFont="1" applyFill="1" applyBorder="1"/>
    <xf numFmtId="44" fontId="8" fillId="18" borderId="20" xfId="0" applyNumberFormat="1" applyFont="1" applyFill="1" applyBorder="1"/>
    <xf numFmtId="164" fontId="0" fillId="0" borderId="0" xfId="0" applyNumberFormat="1" applyAlignment="1">
      <alignment horizontal="center"/>
    </xf>
    <xf numFmtId="0" fontId="61" fillId="0" borderId="0" xfId="0" applyFont="1"/>
    <xf numFmtId="0" fontId="5" fillId="16" borderId="0" xfId="0" applyFont="1" applyFill="1"/>
    <xf numFmtId="0" fontId="8" fillId="16" borderId="0" xfId="0" applyFont="1" applyFill="1" applyAlignment="1">
      <alignment horizontal="right"/>
    </xf>
    <xf numFmtId="3" fontId="8" fillId="16" borderId="0" xfId="0" applyNumberFormat="1" applyFont="1" applyFill="1" applyAlignment="1">
      <alignment horizontal="left"/>
    </xf>
    <xf numFmtId="3" fontId="62" fillId="0" borderId="0" xfId="0" applyNumberFormat="1" applyFont="1" applyAlignment="1">
      <alignment horizontal="left"/>
    </xf>
    <xf numFmtId="0" fontId="17" fillId="0" borderId="0" xfId="0" applyFont="1"/>
    <xf numFmtId="0" fontId="16" fillId="0" borderId="0" xfId="0" applyFont="1"/>
    <xf numFmtId="0" fontId="11" fillId="0" borderId="0" xfId="0" applyFont="1" applyAlignment="1">
      <alignment horizontal="left"/>
    </xf>
    <xf numFmtId="3" fontId="11" fillId="0" borderId="0" xfId="0" applyNumberFormat="1" applyFont="1" applyAlignment="1">
      <alignment horizontal="center"/>
    </xf>
    <xf numFmtId="3" fontId="19" fillId="0" borderId="0" xfId="0" applyNumberFormat="1" applyFont="1" applyAlignment="1">
      <alignment horizontal="left"/>
    </xf>
    <xf numFmtId="0" fontId="19" fillId="0" borderId="0" xfId="0" applyFont="1"/>
    <xf numFmtId="0" fontId="64" fillId="0" borderId="0" xfId="0" applyFont="1"/>
    <xf numFmtId="0" fontId="19" fillId="0" borderId="0" xfId="0" applyFont="1" applyAlignment="1">
      <alignment horizontal="right"/>
    </xf>
    <xf numFmtId="0" fontId="65" fillId="0" borderId="0" xfId="0" applyFont="1"/>
    <xf numFmtId="0" fontId="66" fillId="0" borderId="0" xfId="0" applyFont="1"/>
    <xf numFmtId="0" fontId="66" fillId="0" borderId="0" xfId="0" applyFont="1" applyAlignment="1">
      <alignment horizontal="right"/>
    </xf>
    <xf numFmtId="3" fontId="66" fillId="0" borderId="0" xfId="0" applyNumberFormat="1" applyFont="1" applyAlignment="1">
      <alignment horizontal="left"/>
    </xf>
    <xf numFmtId="3" fontId="0" fillId="0" borderId="0" xfId="0" applyNumberFormat="1"/>
    <xf numFmtId="0" fontId="17" fillId="0" borderId="0" xfId="0" applyFont="1" applyAlignment="1">
      <alignment horizontal="right"/>
    </xf>
    <xf numFmtId="3" fontId="17" fillId="0" borderId="0" xfId="0" applyNumberFormat="1" applyFont="1" applyAlignment="1">
      <alignment horizontal="left"/>
    </xf>
    <xf numFmtId="0" fontId="67" fillId="0" borderId="0" xfId="0" applyFont="1"/>
    <xf numFmtId="0" fontId="68" fillId="0" borderId="0" xfId="0" applyFont="1"/>
    <xf numFmtId="0" fontId="68" fillId="0" borderId="0" xfId="0" applyFont="1" applyAlignment="1">
      <alignment horizontal="right"/>
    </xf>
    <xf numFmtId="3" fontId="68" fillId="0" borderId="0" xfId="0" applyNumberFormat="1" applyFont="1" applyAlignment="1">
      <alignment horizontal="left"/>
    </xf>
    <xf numFmtId="0" fontId="69" fillId="0" borderId="0" xfId="0" applyFont="1"/>
    <xf numFmtId="0" fontId="70" fillId="0" borderId="0" xfId="0" applyFont="1"/>
    <xf numFmtId="3" fontId="69" fillId="0" borderId="0" xfId="0" applyNumberFormat="1" applyFont="1" applyAlignment="1">
      <alignment horizontal="right"/>
    </xf>
    <xf numFmtId="3" fontId="69" fillId="0" borderId="0" xfId="0" applyNumberFormat="1" applyFont="1" applyAlignment="1">
      <alignment horizontal="left"/>
    </xf>
    <xf numFmtId="3" fontId="71" fillId="0" borderId="0" xfId="0" applyNumberFormat="1" applyFont="1" applyAlignment="1">
      <alignment horizontal="right"/>
    </xf>
    <xf numFmtId="3" fontId="71" fillId="0" borderId="0" xfId="0" applyNumberFormat="1" applyFont="1" applyAlignment="1">
      <alignment horizontal="left"/>
    </xf>
    <xf numFmtId="3" fontId="72" fillId="0" borderId="0" xfId="0" applyNumberFormat="1" applyFont="1" applyAlignment="1">
      <alignment horizontal="right"/>
    </xf>
    <xf numFmtId="3" fontId="72" fillId="0" borderId="0" xfId="0" applyNumberFormat="1" applyFont="1" applyAlignment="1">
      <alignment horizontal="left"/>
    </xf>
    <xf numFmtId="0" fontId="5" fillId="0" borderId="0" xfId="0" applyFont="1"/>
    <xf numFmtId="0" fontId="8"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0" fontId="60" fillId="0" borderId="0" xfId="0" applyFont="1"/>
    <xf numFmtId="0" fontId="21" fillId="0" borderId="0" xfId="0" applyFont="1"/>
    <xf numFmtId="0" fontId="8" fillId="0" borderId="0" xfId="0" applyFont="1"/>
    <xf numFmtId="3" fontId="63" fillId="0" borderId="0" xfId="0" applyNumberFormat="1" applyFont="1" applyAlignment="1">
      <alignment horizontal="left"/>
    </xf>
    <xf numFmtId="0" fontId="17" fillId="0" borderId="0" xfId="0" applyFont="1" applyAlignment="1">
      <alignment horizontal="left"/>
    </xf>
    <xf numFmtId="0" fontId="71" fillId="0" borderId="0" xfId="0" applyFont="1"/>
    <xf numFmtId="0" fontId="72" fillId="0" borderId="0" xfId="0" applyFont="1"/>
    <xf numFmtId="0" fontId="8" fillId="0" borderId="0" xfId="0" applyFont="1" applyAlignment="1">
      <alignment horizontal="right"/>
    </xf>
    <xf numFmtId="3" fontId="8" fillId="4" borderId="0" xfId="0" applyNumberFormat="1" applyFont="1" applyFill="1" applyAlignment="1">
      <alignment horizontal="left"/>
    </xf>
    <xf numFmtId="3" fontId="8" fillId="0" borderId="0" xfId="0" applyNumberFormat="1" applyFont="1" applyAlignment="1">
      <alignment horizontal="left"/>
    </xf>
    <xf numFmtId="0" fontId="8" fillId="0" borderId="0" xfId="0" applyFont="1" applyAlignment="1">
      <alignment horizontal="left"/>
    </xf>
    <xf numFmtId="3" fontId="19" fillId="0" borderId="0" xfId="0" applyNumberFormat="1" applyFont="1" applyAlignment="1">
      <alignment horizontal="center"/>
    </xf>
    <xf numFmtId="3" fontId="64" fillId="0" borderId="0" xfId="0" applyNumberFormat="1" applyFont="1" applyAlignment="1">
      <alignment horizontal="center"/>
    </xf>
    <xf numFmtId="3" fontId="5" fillId="0" borderId="0" xfId="0" applyNumberFormat="1" applyFont="1"/>
    <xf numFmtId="3" fontId="66" fillId="0" borderId="0" xfId="0" applyNumberFormat="1" applyFont="1" applyAlignment="1">
      <alignment horizontal="center"/>
    </xf>
    <xf numFmtId="3" fontId="65" fillId="0" borderId="0" xfId="0" applyNumberFormat="1" applyFont="1" applyAlignment="1">
      <alignment horizontal="center"/>
    </xf>
    <xf numFmtId="3" fontId="17" fillId="0" borderId="0" xfId="0" applyNumberFormat="1" applyFont="1" applyAlignment="1">
      <alignment horizontal="center"/>
    </xf>
    <xf numFmtId="3" fontId="16" fillId="0" borderId="0" xfId="0" applyNumberFormat="1" applyFont="1" applyAlignment="1">
      <alignment horizontal="center"/>
    </xf>
    <xf numFmtId="3" fontId="67" fillId="0" borderId="0" xfId="0" applyNumberFormat="1" applyFont="1" applyAlignment="1">
      <alignment horizontal="center"/>
    </xf>
    <xf numFmtId="3" fontId="69" fillId="0" borderId="0" xfId="0" applyNumberFormat="1" applyFont="1" applyAlignment="1">
      <alignment horizontal="center"/>
    </xf>
    <xf numFmtId="3" fontId="70" fillId="0" borderId="0" xfId="0" applyNumberFormat="1" applyFont="1" applyAlignment="1">
      <alignment horizontal="center"/>
    </xf>
    <xf numFmtId="3" fontId="71" fillId="0" borderId="0" xfId="0" applyNumberFormat="1" applyFont="1" applyAlignment="1">
      <alignment horizontal="center"/>
    </xf>
    <xf numFmtId="3" fontId="73" fillId="0" borderId="0" xfId="0" applyNumberFormat="1" applyFont="1" applyAlignment="1">
      <alignment horizontal="center"/>
    </xf>
    <xf numFmtId="3" fontId="72" fillId="0" borderId="0" xfId="0" applyNumberFormat="1" applyFont="1" applyAlignment="1">
      <alignment horizontal="center"/>
    </xf>
    <xf numFmtId="3" fontId="74" fillId="0" borderId="0" xfId="0" applyNumberFormat="1" applyFont="1" applyAlignment="1">
      <alignment horizontal="center"/>
    </xf>
    <xf numFmtId="164" fontId="0" fillId="0" borderId="0" xfId="0" applyNumberFormat="1"/>
    <xf numFmtId="10" fontId="75" fillId="0" borderId="0" xfId="0" applyNumberFormat="1" applyFont="1"/>
    <xf numFmtId="0" fontId="75" fillId="0" borderId="0" xfId="0" applyFont="1"/>
    <xf numFmtId="10" fontId="0" fillId="0" borderId="0" xfId="0" applyNumberFormat="1"/>
    <xf numFmtId="3" fontId="79" fillId="0" borderId="0" xfId="0" applyNumberFormat="1" applyFont="1" applyAlignment="1">
      <alignment horizontal="center"/>
    </xf>
    <xf numFmtId="0" fontId="18" fillId="2" borderId="12" xfId="0" applyFont="1" applyFill="1" applyBorder="1" applyAlignment="1">
      <alignment horizontal="center" wrapText="1"/>
    </xf>
    <xf numFmtId="0" fontId="8" fillId="2" borderId="0" xfId="0" applyFont="1" applyFill="1" applyAlignment="1">
      <alignment horizontal="center" vertical="center"/>
    </xf>
    <xf numFmtId="0" fontId="81" fillId="0" borderId="84" xfId="0" applyFont="1" applyBorder="1" applyAlignment="1">
      <alignment vertical="center" wrapText="1"/>
    </xf>
    <xf numFmtId="0" fontId="81" fillId="0" borderId="85" xfId="0" applyFont="1" applyBorder="1" applyAlignment="1">
      <alignment horizontal="center" vertical="center" wrapText="1"/>
    </xf>
    <xf numFmtId="6" fontId="81" fillId="0" borderId="85" xfId="0" applyNumberFormat="1" applyFont="1" applyBorder="1" applyAlignment="1">
      <alignment horizontal="center" vertical="center" wrapText="1"/>
    </xf>
    <xf numFmtId="0" fontId="80" fillId="19" borderId="82" xfId="0" applyFont="1" applyFill="1" applyBorder="1" applyAlignment="1">
      <alignment horizontal="center" vertical="center"/>
    </xf>
    <xf numFmtId="0" fontId="80" fillId="19" borderId="83" xfId="0" applyFont="1" applyFill="1" applyBorder="1" applyAlignment="1">
      <alignment horizontal="center" vertical="center"/>
    </xf>
    <xf numFmtId="0" fontId="81" fillId="20" borderId="84" xfId="0" applyFont="1" applyFill="1" applyBorder="1" applyAlignment="1">
      <alignment vertical="center" wrapText="1"/>
    </xf>
    <xf numFmtId="0" fontId="81" fillId="20" borderId="85" xfId="0" applyFont="1" applyFill="1" applyBorder="1" applyAlignment="1">
      <alignment horizontal="center" vertical="center" wrapText="1"/>
    </xf>
    <xf numFmtId="6" fontId="81" fillId="20" borderId="85" xfId="0" applyNumberFormat="1" applyFont="1" applyFill="1" applyBorder="1" applyAlignment="1">
      <alignment horizontal="center" vertical="center" wrapText="1"/>
    </xf>
    <xf numFmtId="0" fontId="80" fillId="19" borderId="0" xfId="0" applyFont="1" applyFill="1" applyAlignment="1">
      <alignment horizontal="center" vertical="center"/>
    </xf>
    <xf numFmtId="0" fontId="81" fillId="20" borderId="84" xfId="0" applyFont="1" applyFill="1" applyBorder="1" applyAlignment="1">
      <alignment vertical="center"/>
    </xf>
    <xf numFmtId="0" fontId="81" fillId="0" borderId="0" xfId="0" applyFont="1"/>
    <xf numFmtId="0" fontId="81" fillId="0" borderId="0" xfId="0" applyFont="1" applyAlignment="1">
      <alignment horizontal="center" vertical="center" wrapText="1"/>
    </xf>
    <xf numFmtId="6" fontId="81" fillId="0" borderId="0" xfId="0" applyNumberFormat="1" applyFont="1" applyAlignment="1">
      <alignment horizontal="center" vertical="center" wrapText="1"/>
    </xf>
    <xf numFmtId="4" fontId="0" fillId="0" borderId="0" xfId="0" applyNumberFormat="1"/>
    <xf numFmtId="8" fontId="0" fillId="0" borderId="0" xfId="0" applyNumberFormat="1"/>
    <xf numFmtId="4" fontId="56" fillId="0" borderId="0" xfId="0" applyNumberFormat="1" applyFont="1"/>
    <xf numFmtId="0" fontId="56" fillId="0" borderId="0" xfId="0" applyFont="1"/>
    <xf numFmtId="8" fontId="56" fillId="0" borderId="0" xfId="0" applyNumberFormat="1" applyFont="1"/>
    <xf numFmtId="0" fontId="0" fillId="0" borderId="0" xfId="0" applyAlignment="1">
      <alignment horizontal="center" vertical="top" wrapText="1"/>
    </xf>
    <xf numFmtId="0" fontId="1" fillId="0" borderId="12" xfId="19" applyBorder="1"/>
    <xf numFmtId="0" fontId="1" fillId="4" borderId="12" xfId="19" applyFill="1" applyBorder="1" applyAlignment="1">
      <alignment horizontal="center"/>
    </xf>
    <xf numFmtId="0" fontId="1" fillId="0" borderId="0" xfId="19"/>
    <xf numFmtId="0" fontId="1" fillId="0" borderId="12" xfId="19" applyBorder="1" applyAlignment="1">
      <alignment horizontal="center"/>
    </xf>
    <xf numFmtId="0" fontId="56" fillId="4" borderId="12" xfId="19" applyFont="1" applyFill="1" applyBorder="1" applyAlignment="1">
      <alignment horizontal="center"/>
    </xf>
    <xf numFmtId="0" fontId="56" fillId="0" borderId="12" xfId="19" applyFont="1" applyBorder="1" applyAlignment="1">
      <alignment horizontal="center"/>
    </xf>
    <xf numFmtId="0" fontId="1" fillId="0" borderId="0" xfId="19" applyAlignment="1">
      <alignment horizontal="center"/>
    </xf>
    <xf numFmtId="165" fontId="1" fillId="0" borderId="12" xfId="19" applyNumberFormat="1" applyBorder="1"/>
    <xf numFmtId="165" fontId="1" fillId="0" borderId="0" xfId="19" applyNumberFormat="1"/>
    <xf numFmtId="0" fontId="1" fillId="0" borderId="12" xfId="19" applyBorder="1" applyAlignment="1">
      <alignment horizontal="left"/>
    </xf>
    <xf numFmtId="4" fontId="1" fillId="0" borderId="0" xfId="19" applyNumberFormat="1"/>
    <xf numFmtId="0" fontId="56" fillId="0" borderId="12" xfId="19" applyFont="1" applyBorder="1" applyAlignment="1">
      <alignment horizontal="left"/>
    </xf>
    <xf numFmtId="165" fontId="56" fillId="0" borderId="12" xfId="19" applyNumberFormat="1" applyFont="1" applyBorder="1"/>
    <xf numFmtId="165" fontId="56" fillId="0" borderId="0" xfId="19" applyNumberFormat="1" applyFont="1"/>
    <xf numFmtId="0" fontId="56" fillId="0" borderId="12" xfId="19" applyFont="1" applyBorder="1"/>
    <xf numFmtId="0" fontId="82" fillId="0" borderId="0" xfId="0" applyFont="1"/>
    <xf numFmtId="0" fontId="83" fillId="0" borderId="0" xfId="0" applyFont="1" applyAlignment="1">
      <alignment vertical="center"/>
    </xf>
    <xf numFmtId="0" fontId="5" fillId="0" borderId="0" xfId="0" applyFont="1" applyAlignment="1">
      <alignment horizontal="center"/>
    </xf>
    <xf numFmtId="3" fontId="0" fillId="0" borderId="0" xfId="6" applyNumberFormat="1" applyFont="1" applyAlignment="1">
      <alignment horizontal="center"/>
    </xf>
    <xf numFmtId="181" fontId="0" fillId="0" borderId="0" xfId="0" applyNumberFormat="1" applyAlignment="1">
      <alignment horizontal="center"/>
    </xf>
    <xf numFmtId="181" fontId="8" fillId="0" borderId="0" xfId="0" applyNumberFormat="1" applyFont="1" applyAlignment="1">
      <alignment horizontal="center"/>
    </xf>
    <xf numFmtId="181" fontId="0" fillId="0" borderId="0" xfId="0" applyNumberFormat="1"/>
    <xf numFmtId="181" fontId="0" fillId="2" borderId="0" xfId="0" applyNumberFormat="1" applyFill="1"/>
    <xf numFmtId="44" fontId="0" fillId="2" borderId="0" xfId="1" applyFont="1" applyFill="1" applyAlignment="1">
      <alignment horizontal="center"/>
    </xf>
    <xf numFmtId="0" fontId="5" fillId="2" borderId="0" xfId="0" applyFont="1" applyFill="1" applyAlignment="1">
      <alignment horizontal="left" indent="2"/>
    </xf>
    <xf numFmtId="181" fontId="5" fillId="2" borderId="0" xfId="0" applyNumberFormat="1" applyFont="1" applyFill="1"/>
    <xf numFmtId="0" fontId="5" fillId="4" borderId="0" xfId="0" applyFont="1" applyFill="1"/>
    <xf numFmtId="181" fontId="0" fillId="4" borderId="0" xfId="0" applyNumberFormat="1" applyFill="1"/>
    <xf numFmtId="0" fontId="0" fillId="4" borderId="0" xfId="0" applyFill="1"/>
    <xf numFmtId="10" fontId="0" fillId="4" borderId="0" xfId="3" applyNumberFormat="1" applyFont="1" applyFill="1"/>
    <xf numFmtId="10" fontId="5" fillId="2" borderId="0" xfId="3" applyNumberFormat="1" applyFont="1" applyFill="1"/>
    <xf numFmtId="0" fontId="0" fillId="0" borderId="0" xfId="0" quotePrefix="1" applyAlignment="1">
      <alignment horizontal="center"/>
    </xf>
    <xf numFmtId="6" fontId="18" fillId="20" borderId="12" xfId="0" applyNumberFormat="1" applyFont="1" applyFill="1" applyBorder="1" applyAlignment="1">
      <alignment horizontal="right"/>
    </xf>
    <xf numFmtId="0" fontId="80" fillId="19" borderId="86" xfId="0" applyFont="1" applyFill="1" applyBorder="1" applyAlignment="1">
      <alignment horizontal="center" vertical="center"/>
    </xf>
    <xf numFmtId="0" fontId="81" fillId="0" borderId="87" xfId="0" applyFont="1" applyBorder="1" applyAlignment="1">
      <alignment vertical="center"/>
    </xf>
    <xf numFmtId="6" fontId="81" fillId="0" borderId="88" xfId="0" applyNumberFormat="1" applyFont="1" applyBorder="1" applyAlignment="1">
      <alignment horizontal="center" vertical="center" wrapText="1"/>
    </xf>
    <xf numFmtId="0" fontId="84" fillId="0" borderId="87" xfId="0" applyFont="1" applyBorder="1" applyAlignment="1">
      <alignment vertical="center"/>
    </xf>
    <xf numFmtId="6" fontId="84" fillId="0" borderId="88" xfId="0" applyNumberFormat="1" applyFont="1" applyBorder="1" applyAlignment="1">
      <alignment horizontal="center" vertical="center" wrapText="1"/>
    </xf>
    <xf numFmtId="0" fontId="85" fillId="21" borderId="87" xfId="0" applyFont="1" applyFill="1" applyBorder="1" applyAlignment="1">
      <alignment vertical="center"/>
    </xf>
    <xf numFmtId="0" fontId="81" fillId="21" borderId="88" xfId="0" applyFont="1" applyFill="1" applyBorder="1" applyAlignment="1">
      <alignment horizontal="center" vertical="center" wrapText="1"/>
    </xf>
    <xf numFmtId="0" fontId="86" fillId="22" borderId="87" xfId="0" applyFont="1" applyFill="1" applyBorder="1" applyAlignment="1">
      <alignment vertical="center"/>
    </xf>
    <xf numFmtId="6" fontId="86" fillId="22" borderId="88" xfId="0" applyNumberFormat="1" applyFont="1" applyFill="1" applyBorder="1" applyAlignment="1">
      <alignment horizontal="center" vertical="center" wrapText="1"/>
    </xf>
    <xf numFmtId="0" fontId="80" fillId="23" borderId="89" xfId="0" applyFont="1" applyFill="1" applyBorder="1" applyAlignment="1">
      <alignment horizontal="center" vertical="center"/>
    </xf>
    <xf numFmtId="0" fontId="80" fillId="23" borderId="90" xfId="0" applyFont="1" applyFill="1" applyBorder="1" applyAlignment="1">
      <alignment horizontal="center" vertical="center" wrapText="1"/>
    </xf>
    <xf numFmtId="0" fontId="81" fillId="0" borderId="0" xfId="0" applyFont="1" applyAlignment="1">
      <alignment vertical="center"/>
    </xf>
    <xf numFmtId="0" fontId="88" fillId="0" borderId="0" xfId="0" applyFont="1" applyAlignment="1">
      <alignment vertical="center"/>
    </xf>
    <xf numFmtId="0" fontId="89" fillId="2" borderId="0" xfId="0" applyFont="1" applyFill="1"/>
    <xf numFmtId="0" fontId="90" fillId="14" borderId="5" xfId="0" applyFont="1" applyFill="1" applyBorder="1" applyAlignment="1">
      <alignment horizontal="left" indent="1"/>
    </xf>
    <xf numFmtId="0" fontId="89" fillId="14" borderId="0" xfId="0" applyFont="1" applyFill="1"/>
    <xf numFmtId="44" fontId="89" fillId="14" borderId="0" xfId="0" applyNumberFormat="1" applyFont="1" applyFill="1"/>
    <xf numFmtId="0" fontId="91" fillId="5" borderId="5" xfId="0" applyFont="1" applyFill="1" applyBorder="1"/>
    <xf numFmtId="0" fontId="91" fillId="5" borderId="0" xfId="0" applyFont="1" applyFill="1"/>
    <xf numFmtId="0" fontId="89" fillId="5" borderId="0" xfId="0" applyFont="1" applyFill="1"/>
    <xf numFmtId="44" fontId="89" fillId="5" borderId="0" xfId="0" applyNumberFormat="1" applyFont="1" applyFill="1"/>
    <xf numFmtId="0" fontId="92" fillId="5" borderId="0" xfId="0" applyFont="1" applyFill="1"/>
    <xf numFmtId="44" fontId="92" fillId="5" borderId="0" xfId="0" applyNumberFormat="1" applyFont="1" applyFill="1"/>
    <xf numFmtId="0" fontId="92" fillId="5" borderId="0" xfId="0" applyFont="1" applyFill="1" applyAlignment="1">
      <alignment horizontal="left" indent="1"/>
    </xf>
    <xf numFmtId="0" fontId="89" fillId="5" borderId="0" xfId="0" applyFont="1" applyFill="1" applyAlignment="1">
      <alignment horizontal="left" indent="1"/>
    </xf>
    <xf numFmtId="0" fontId="89" fillId="5" borderId="0" xfId="0" applyFont="1" applyFill="1" applyAlignment="1">
      <alignment horizontal="left"/>
    </xf>
    <xf numFmtId="0" fontId="90" fillId="5" borderId="5" xfId="0" applyFont="1" applyFill="1" applyBorder="1"/>
    <xf numFmtId="0" fontId="90" fillId="5" borderId="0" xfId="0" applyFont="1" applyFill="1"/>
    <xf numFmtId="0" fontId="90" fillId="5" borderId="0" xfId="0" applyFont="1" applyFill="1" applyAlignment="1">
      <alignment horizontal="left" indent="1"/>
    </xf>
    <xf numFmtId="44" fontId="90" fillId="5" borderId="0" xfId="0" applyNumberFormat="1" applyFont="1" applyFill="1"/>
    <xf numFmtId="0" fontId="90" fillId="2" borderId="0" xfId="0" applyFont="1" applyFill="1"/>
    <xf numFmtId="0" fontId="91" fillId="14" borderId="0" xfId="0" applyFont="1" applyFill="1"/>
    <xf numFmtId="0" fontId="90" fillId="15" borderId="5" xfId="0" applyFont="1" applyFill="1" applyBorder="1" applyAlignment="1">
      <alignment horizontal="left" indent="1"/>
    </xf>
    <xf numFmtId="0" fontId="89" fillId="15" borderId="0" xfId="0" applyFont="1" applyFill="1"/>
    <xf numFmtId="44" fontId="89" fillId="15" borderId="0" xfId="0" applyNumberFormat="1" applyFont="1" applyFill="1"/>
    <xf numFmtId="0" fontId="89" fillId="6" borderId="0" xfId="0" applyFont="1" applyFill="1"/>
    <xf numFmtId="0" fontId="91" fillId="6" borderId="5" xfId="0" applyFont="1" applyFill="1" applyBorder="1"/>
    <xf numFmtId="0" fontId="91" fillId="6" borderId="0" xfId="0" applyFont="1" applyFill="1"/>
    <xf numFmtId="44" fontId="89" fillId="6" borderId="0" xfId="0" applyNumberFormat="1" applyFont="1" applyFill="1"/>
    <xf numFmtId="0" fontId="90" fillId="6" borderId="5" xfId="0" applyFont="1" applyFill="1" applyBorder="1"/>
    <xf numFmtId="0" fontId="90" fillId="6" borderId="0" xfId="0" applyFont="1" applyFill="1"/>
    <xf numFmtId="0" fontId="90" fillId="6" borderId="0" xfId="0" applyFont="1" applyFill="1" applyAlignment="1">
      <alignment horizontal="left" indent="1"/>
    </xf>
    <xf numFmtId="44" fontId="90" fillId="6" borderId="0" xfId="0" applyNumberFormat="1" applyFont="1" applyFill="1"/>
    <xf numFmtId="0" fontId="91" fillId="15" borderId="0" xfId="0" applyFont="1" applyFill="1"/>
    <xf numFmtId="0" fontId="90" fillId="3" borderId="19" xfId="0" applyFont="1" applyFill="1" applyBorder="1"/>
    <xf numFmtId="0" fontId="90" fillId="3" borderId="20" xfId="0" applyFont="1" applyFill="1" applyBorder="1"/>
    <xf numFmtId="44" fontId="90" fillId="3" borderId="20" xfId="0" applyNumberFormat="1" applyFont="1" applyFill="1" applyBorder="1"/>
    <xf numFmtId="0" fontId="93" fillId="2" borderId="0" xfId="0" applyFont="1" applyFill="1"/>
    <xf numFmtId="0" fontId="12" fillId="2" borderId="0" xfId="0" applyFont="1" applyFill="1"/>
    <xf numFmtId="44" fontId="33" fillId="2" borderId="0" xfId="0" applyNumberFormat="1" applyFont="1" applyFill="1" applyAlignment="1">
      <alignment horizontal="center"/>
    </xf>
    <xf numFmtId="0" fontId="6" fillId="2" borderId="5" xfId="0" applyFont="1" applyFill="1" applyBorder="1" applyAlignment="1">
      <alignment vertical="top"/>
    </xf>
    <xf numFmtId="0" fontId="0" fillId="2" borderId="0" xfId="0" applyFill="1" applyAlignment="1">
      <alignment vertical="top"/>
    </xf>
    <xf numFmtId="0" fontId="90" fillId="2" borderId="5" xfId="0" applyFont="1" applyFill="1" applyBorder="1"/>
    <xf numFmtId="44" fontId="89" fillId="2" borderId="0" xfId="0" applyNumberFormat="1" applyFont="1" applyFill="1"/>
    <xf numFmtId="0" fontId="91" fillId="2" borderId="5" xfId="0" applyFont="1" applyFill="1" applyBorder="1"/>
    <xf numFmtId="0" fontId="91" fillId="2" borderId="0" xfId="0" applyFont="1" applyFill="1"/>
    <xf numFmtId="49" fontId="94" fillId="2" borderId="5" xfId="0" quotePrefix="1" applyNumberFormat="1" applyFont="1" applyFill="1" applyBorder="1" applyAlignment="1">
      <alignment horizontal="right"/>
    </xf>
    <xf numFmtId="49" fontId="94" fillId="2" borderId="0" xfId="0" quotePrefix="1" applyNumberFormat="1" applyFont="1" applyFill="1" applyAlignment="1">
      <alignment horizontal="right"/>
    </xf>
    <xf numFmtId="49" fontId="89" fillId="2" borderId="5" xfId="0" quotePrefix="1" applyNumberFormat="1" applyFont="1" applyFill="1" applyBorder="1" applyAlignment="1">
      <alignment horizontal="right"/>
    </xf>
    <xf numFmtId="49" fontId="89" fillId="2" borderId="0" xfId="0" quotePrefix="1" applyNumberFormat="1" applyFont="1" applyFill="1" applyAlignment="1">
      <alignment horizontal="right"/>
    </xf>
    <xf numFmtId="0" fontId="90" fillId="2" borderId="0" xfId="0" applyFont="1" applyFill="1" applyAlignment="1">
      <alignment horizontal="left" indent="1"/>
    </xf>
    <xf numFmtId="44" fontId="90" fillId="2" borderId="0" xfId="0" applyNumberFormat="1" applyFont="1" applyFill="1"/>
    <xf numFmtId="0" fontId="89" fillId="2" borderId="5" xfId="0" applyFont="1" applyFill="1" applyBorder="1"/>
    <xf numFmtId="8" fontId="89" fillId="2" borderId="0" xfId="0" applyNumberFormat="1" applyFont="1" applyFill="1"/>
    <xf numFmtId="44" fontId="89" fillId="2" borderId="0" xfId="0" applyNumberFormat="1" applyFont="1" applyFill="1" applyAlignment="1">
      <alignment horizontal="center"/>
    </xf>
    <xf numFmtId="44" fontId="95" fillId="2" borderId="0" xfId="0" applyNumberFormat="1" applyFont="1" applyFill="1" applyAlignment="1">
      <alignment horizontal="center"/>
    </xf>
    <xf numFmtId="8" fontId="96" fillId="2" borderId="0" xfId="0" applyNumberFormat="1" applyFont="1" applyFill="1"/>
    <xf numFmtId="1" fontId="89" fillId="2" borderId="0" xfId="0" applyNumberFormat="1" applyFont="1" applyFill="1" applyAlignment="1">
      <alignment horizontal="center"/>
    </xf>
    <xf numFmtId="0" fontId="89" fillId="2" borderId="0" xfId="0" quotePrefix="1" applyFont="1" applyFill="1" applyAlignment="1">
      <alignment horizontal="center"/>
    </xf>
    <xf numFmtId="3" fontId="89" fillId="2" borderId="0" xfId="6" applyNumberFormat="1" applyFont="1" applyFill="1" applyBorder="1" applyAlignment="1">
      <alignment horizontal="center"/>
    </xf>
    <xf numFmtId="3" fontId="90" fillId="2" borderId="0" xfId="0" quotePrefix="1" applyNumberFormat="1" applyFont="1" applyFill="1" applyAlignment="1">
      <alignment horizontal="center"/>
    </xf>
    <xf numFmtId="3" fontId="90" fillId="2" borderId="0" xfId="0" applyNumberFormat="1" applyFont="1" applyFill="1" applyAlignment="1">
      <alignment horizontal="center"/>
    </xf>
    <xf numFmtId="0" fontId="97" fillId="2" borderId="0" xfId="0" applyFont="1" applyFill="1" applyAlignment="1">
      <alignment horizontal="center"/>
    </xf>
    <xf numFmtId="0" fontId="97" fillId="2" borderId="0" xfId="0" applyFont="1" applyFill="1" applyAlignment="1">
      <alignment horizontal="left"/>
    </xf>
    <xf numFmtId="44" fontId="89" fillId="2" borderId="0" xfId="0" quotePrefix="1" applyNumberFormat="1" applyFont="1" applyFill="1" applyAlignment="1">
      <alignment horizontal="center"/>
    </xf>
    <xf numFmtId="44" fontId="93" fillId="13" borderId="0" xfId="0" applyNumberFormat="1" applyFont="1" applyFill="1" applyAlignment="1">
      <alignment horizontal="center"/>
    </xf>
    <xf numFmtId="0" fontId="81" fillId="0" borderId="91" xfId="0" applyFont="1" applyBorder="1" applyAlignment="1">
      <alignment horizontal="center" vertical="center" wrapText="1"/>
    </xf>
    <xf numFmtId="49" fontId="36" fillId="0" borderId="0" xfId="8" applyNumberFormat="1" applyFont="1"/>
    <xf numFmtId="174" fontId="36" fillId="0" borderId="0" xfId="8" applyNumberFormat="1" applyFont="1"/>
    <xf numFmtId="181" fontId="5" fillId="9" borderId="12" xfId="3" applyNumberFormat="1" applyFont="1" applyFill="1" applyBorder="1" applyAlignment="1">
      <alignment horizontal="center"/>
    </xf>
    <xf numFmtId="7" fontId="98" fillId="7" borderId="0" xfId="0" applyNumberFormat="1" applyFont="1" applyFill="1" applyAlignment="1">
      <alignment horizontal="center"/>
    </xf>
    <xf numFmtId="0" fontId="5" fillId="2" borderId="1" xfId="0" applyFont="1" applyFill="1" applyBorder="1" applyAlignment="1">
      <alignment horizontal="center"/>
    </xf>
    <xf numFmtId="181" fontId="12" fillId="2" borderId="0" xfId="0" applyNumberFormat="1" applyFont="1" applyFill="1" applyAlignment="1">
      <alignment horizontal="center"/>
    </xf>
    <xf numFmtId="0" fontId="12" fillId="2" borderId="0" xfId="0" applyFont="1" applyFill="1" applyAlignment="1">
      <alignment horizontal="right"/>
    </xf>
    <xf numFmtId="165" fontId="89" fillId="2" borderId="0" xfId="0" applyNumberFormat="1" applyFont="1" applyFill="1"/>
    <xf numFmtId="0" fontId="89" fillId="2" borderId="0" xfId="0" applyFont="1" applyFill="1" applyAlignment="1">
      <alignment horizontal="center"/>
    </xf>
    <xf numFmtId="3" fontId="89" fillId="2" borderId="0" xfId="0" applyNumberFormat="1" applyFont="1" applyFill="1" applyAlignment="1">
      <alignment horizontal="center"/>
    </xf>
    <xf numFmtId="44" fontId="95" fillId="2" borderId="0" xfId="1" applyFont="1" applyFill="1"/>
    <xf numFmtId="44" fontId="89" fillId="2" borderId="0" xfId="1" applyFont="1" applyFill="1"/>
    <xf numFmtId="181" fontId="89" fillId="2" borderId="0" xfId="0" applyNumberFormat="1" applyFont="1" applyFill="1" applyAlignment="1">
      <alignment horizontal="center"/>
    </xf>
    <xf numFmtId="181" fontId="89" fillId="2" borderId="0" xfId="1" applyNumberFormat="1" applyFont="1" applyFill="1" applyAlignment="1">
      <alignment horizontal="center"/>
    </xf>
    <xf numFmtId="14" fontId="17" fillId="2" borderId="0" xfId="0" quotePrefix="1" applyNumberFormat="1" applyFont="1" applyFill="1"/>
    <xf numFmtId="0" fontId="30" fillId="0" borderId="0" xfId="0" applyFont="1" applyAlignment="1">
      <alignment horizontal="left"/>
    </xf>
    <xf numFmtId="0" fontId="31" fillId="0" borderId="0" xfId="0" applyFont="1" applyAlignment="1">
      <alignment horizontal="left"/>
    </xf>
    <xf numFmtId="0" fontId="32" fillId="0" borderId="0" xfId="0" applyFont="1" applyAlignment="1">
      <alignment horizontal="left"/>
    </xf>
    <xf numFmtId="0" fontId="33" fillId="0" borderId="0" xfId="0" applyFont="1" applyAlignment="1">
      <alignment horizontal="right"/>
    </xf>
    <xf numFmtId="0" fontId="33" fillId="0" borderId="0" xfId="0" applyFont="1" applyAlignment="1">
      <alignment horizontal="left"/>
    </xf>
    <xf numFmtId="49" fontId="34" fillId="0" borderId="1" xfId="0" applyNumberFormat="1" applyFont="1" applyBorder="1" applyAlignment="1">
      <alignment horizontal="left"/>
    </xf>
    <xf numFmtId="173" fontId="34" fillId="0" borderId="1" xfId="0" applyNumberFormat="1" applyFont="1" applyBorder="1" applyAlignment="1">
      <alignment horizontal="left"/>
    </xf>
    <xf numFmtId="49" fontId="35" fillId="0" borderId="0" xfId="0" applyNumberFormat="1" applyFont="1"/>
    <xf numFmtId="174" fontId="35" fillId="0" borderId="0" xfId="0" applyNumberFormat="1" applyFont="1"/>
    <xf numFmtId="49" fontId="0" fillId="0" borderId="0" xfId="0" applyNumberFormat="1"/>
    <xf numFmtId="173" fontId="35" fillId="0" borderId="0" xfId="0" applyNumberFormat="1" applyFont="1"/>
    <xf numFmtId="49" fontId="36" fillId="0" borderId="0" xfId="0" applyNumberFormat="1" applyFont="1"/>
    <xf numFmtId="174" fontId="36" fillId="0" borderId="0" xfId="0" applyNumberFormat="1" applyFont="1"/>
    <xf numFmtId="173" fontId="35" fillId="0" borderId="1" xfId="0" applyNumberFormat="1" applyFont="1" applyBorder="1"/>
    <xf numFmtId="182" fontId="35" fillId="0" borderId="0" xfId="0" applyNumberFormat="1" applyFont="1"/>
    <xf numFmtId="0" fontId="34" fillId="0" borderId="0" xfId="0" applyFont="1" applyAlignment="1">
      <alignment horizontal="right" wrapText="1"/>
    </xf>
    <xf numFmtId="0" fontId="34" fillId="0" borderId="1" xfId="0" applyFont="1" applyBorder="1" applyAlignment="1">
      <alignment horizontal="right" wrapText="1"/>
    </xf>
    <xf numFmtId="0" fontId="35" fillId="0" borderId="0" xfId="0" applyFont="1"/>
    <xf numFmtId="167" fontId="35" fillId="0" borderId="0" xfId="0" applyNumberFormat="1" applyFont="1"/>
    <xf numFmtId="168" fontId="35" fillId="0" borderId="0" xfId="0" applyNumberFormat="1" applyFont="1"/>
    <xf numFmtId="169" fontId="35" fillId="0" borderId="0" xfId="0" applyNumberFormat="1" applyFont="1"/>
    <xf numFmtId="170" fontId="36" fillId="0" borderId="21" xfId="0" applyNumberFormat="1" applyFont="1" applyBorder="1" applyAlignment="1">
      <alignment horizontal="right" vertical="center"/>
    </xf>
    <xf numFmtId="171" fontId="36" fillId="0" borderId="21" xfId="0" applyNumberFormat="1" applyFont="1" applyBorder="1" applyAlignment="1">
      <alignment horizontal="right" vertical="center"/>
    </xf>
    <xf numFmtId="172" fontId="36" fillId="0" borderId="21" xfId="0" applyNumberFormat="1" applyFont="1" applyBorder="1" applyAlignment="1">
      <alignment horizontal="right" vertical="center"/>
    </xf>
    <xf numFmtId="0" fontId="34" fillId="0" borderId="1" xfId="0" applyFont="1" applyBorder="1" applyAlignment="1">
      <alignment horizontal="left"/>
    </xf>
    <xf numFmtId="173" fontId="0" fillId="0" borderId="0" xfId="0" applyNumberFormat="1" applyAlignment="1">
      <alignment horizontal="right"/>
    </xf>
    <xf numFmtId="175" fontId="35" fillId="0" borderId="0" xfId="0" applyNumberFormat="1" applyFont="1"/>
    <xf numFmtId="176" fontId="35" fillId="0" borderId="0" xfId="0" applyNumberFormat="1" applyFont="1"/>
    <xf numFmtId="7" fontId="0" fillId="2" borderId="0" xfId="0" applyNumberFormat="1" applyFill="1" applyAlignment="1">
      <alignment horizontal="center"/>
    </xf>
    <xf numFmtId="44" fontId="90" fillId="0" borderId="0" xfId="0" applyNumberFormat="1" applyFont="1"/>
    <xf numFmtId="0" fontId="8" fillId="3" borderId="62" xfId="0" applyFont="1" applyFill="1" applyBorder="1"/>
    <xf numFmtId="0" fontId="8" fillId="3" borderId="21" xfId="0" applyFont="1" applyFill="1" applyBorder="1"/>
    <xf numFmtId="44" fontId="8" fillId="3" borderId="21" xfId="0" applyNumberFormat="1" applyFont="1" applyFill="1" applyBorder="1"/>
    <xf numFmtId="0" fontId="8" fillId="2" borderId="0" xfId="0" applyFont="1" applyFill="1" applyAlignment="1">
      <alignment horizontal="center" wrapText="1"/>
    </xf>
    <xf numFmtId="0" fontId="90" fillId="2" borderId="81" xfId="0" applyFont="1" applyFill="1" applyBorder="1"/>
    <xf numFmtId="0" fontId="89" fillId="2" borderId="45" xfId="0" applyFont="1" applyFill="1" applyBorder="1"/>
    <xf numFmtId="44" fontId="89" fillId="2" borderId="45" xfId="0" applyNumberFormat="1" applyFont="1" applyFill="1" applyBorder="1"/>
    <xf numFmtId="1" fontId="99" fillId="2" borderId="0" xfId="0" applyNumberFormat="1" applyFont="1" applyFill="1" applyAlignment="1">
      <alignment horizontal="center"/>
    </xf>
    <xf numFmtId="0" fontId="100" fillId="24" borderId="5" xfId="0" applyFont="1" applyFill="1" applyBorder="1" applyAlignment="1">
      <alignment horizontal="left"/>
    </xf>
    <xf numFmtId="0" fontId="7" fillId="24" borderId="0" xfId="0" applyFont="1" applyFill="1" applyAlignment="1">
      <alignment horizontal="left"/>
    </xf>
    <xf numFmtId="0" fontId="8" fillId="24" borderId="0" xfId="0" applyFont="1" applyFill="1" applyAlignment="1">
      <alignment horizontal="center"/>
    </xf>
    <xf numFmtId="0" fontId="0" fillId="24" borderId="0" xfId="0" applyFill="1"/>
    <xf numFmtId="7" fontId="8" fillId="24" borderId="0" xfId="0" applyNumberFormat="1" applyFont="1" applyFill="1" applyAlignment="1">
      <alignment horizontal="center"/>
    </xf>
    <xf numFmtId="0" fontId="5" fillId="2" borderId="0" xfId="0" applyFont="1" applyFill="1" applyAlignment="1">
      <alignment horizontal="center"/>
    </xf>
    <xf numFmtId="3" fontId="89" fillId="2" borderId="0" xfId="6" quotePrefix="1" applyNumberFormat="1" applyFont="1" applyFill="1" applyBorder="1" applyAlignment="1">
      <alignment horizontal="center"/>
    </xf>
    <xf numFmtId="181" fontId="89" fillId="2" borderId="0" xfId="6" applyNumberFormat="1" applyFont="1" applyFill="1" applyBorder="1" applyAlignment="1">
      <alignment horizontal="center"/>
    </xf>
    <xf numFmtId="181" fontId="89" fillId="2" borderId="0" xfId="6" quotePrefix="1" applyNumberFormat="1" applyFont="1" applyFill="1" applyBorder="1" applyAlignment="1">
      <alignment horizontal="center"/>
    </xf>
    <xf numFmtId="44" fontId="12" fillId="2" borderId="0" xfId="0" applyNumberFormat="1" applyFont="1" applyFill="1" applyAlignment="1">
      <alignment horizontal="center"/>
    </xf>
    <xf numFmtId="0" fontId="0" fillId="2" borderId="0" xfId="0" applyFill="1" applyAlignment="1">
      <alignment horizontal="right"/>
    </xf>
    <xf numFmtId="44" fontId="12" fillId="2" borderId="0" xfId="0" applyNumberFormat="1" applyFont="1" applyFill="1" applyAlignment="1">
      <alignment horizontal="right"/>
    </xf>
    <xf numFmtId="0" fontId="8" fillId="20" borderId="0" xfId="0" applyFont="1" applyFill="1"/>
    <xf numFmtId="0" fontId="33" fillId="20" borderId="0" xfId="0" applyFont="1" applyFill="1" applyAlignment="1">
      <alignment horizontal="right"/>
    </xf>
    <xf numFmtId="0" fontId="33" fillId="20" borderId="0" xfId="0" applyFont="1" applyFill="1"/>
    <xf numFmtId="181" fontId="33" fillId="20" borderId="0" xfId="0" quotePrefix="1" applyNumberFormat="1" applyFont="1" applyFill="1" applyAlignment="1">
      <alignment horizontal="center"/>
    </xf>
    <xf numFmtId="181" fontId="33" fillId="20" borderId="0" xfId="0" applyNumberFormat="1" applyFont="1" applyFill="1"/>
    <xf numFmtId="0" fontId="30" fillId="0" borderId="0" xfId="8" applyFont="1" applyAlignment="1">
      <alignment horizontal="left"/>
    </xf>
    <xf numFmtId="0" fontId="31" fillId="0" borderId="0" xfId="8" applyFont="1" applyAlignment="1">
      <alignment horizontal="left"/>
    </xf>
    <xf numFmtId="0" fontId="32" fillId="0" borderId="0" xfId="8" applyFont="1" applyAlignment="1">
      <alignment horizontal="left"/>
    </xf>
    <xf numFmtId="0" fontId="33" fillId="0" borderId="0" xfId="8" applyFont="1" applyAlignment="1">
      <alignment horizontal="right"/>
    </xf>
    <xf numFmtId="0" fontId="33" fillId="0" borderId="0" xfId="8" applyFont="1" applyAlignment="1">
      <alignment horizontal="left"/>
    </xf>
    <xf numFmtId="49" fontId="34" fillId="0" borderId="1" xfId="8" applyNumberFormat="1" applyFont="1" applyBorder="1" applyAlignment="1">
      <alignment horizontal="left"/>
    </xf>
    <xf numFmtId="173" fontId="34" fillId="0" borderId="1" xfId="8" applyNumberFormat="1" applyFont="1" applyBorder="1" applyAlignment="1">
      <alignment horizontal="left"/>
    </xf>
    <xf numFmtId="49" fontId="5" fillId="0" borderId="0" xfId="8" applyNumberFormat="1"/>
    <xf numFmtId="173" fontId="35" fillId="0" borderId="0" xfId="8" applyNumberFormat="1" applyFont="1"/>
    <xf numFmtId="173" fontId="35" fillId="0" borderId="1" xfId="8" applyNumberFormat="1" applyFont="1" applyBorder="1"/>
    <xf numFmtId="49" fontId="35" fillId="0" borderId="0" xfId="8" applyNumberFormat="1" applyFont="1"/>
    <xf numFmtId="174" fontId="35" fillId="0" borderId="0" xfId="8" applyNumberFormat="1" applyFont="1"/>
    <xf numFmtId="182" fontId="35" fillId="0" borderId="0" xfId="8" applyNumberFormat="1" applyFont="1"/>
    <xf numFmtId="173" fontId="5" fillId="0" borderId="0" xfId="8" applyNumberFormat="1" applyAlignment="1">
      <alignment horizontal="right"/>
    </xf>
    <xf numFmtId="0" fontId="34" fillId="0" borderId="0" xfId="8" applyFont="1" applyAlignment="1">
      <alignment horizontal="right" wrapText="1"/>
    </xf>
    <xf numFmtId="0" fontId="34" fillId="0" borderId="1" xfId="8" applyFont="1" applyBorder="1" applyAlignment="1">
      <alignment horizontal="right" wrapText="1"/>
    </xf>
    <xf numFmtId="0" fontId="35" fillId="0" borderId="0" xfId="8" applyFont="1"/>
    <xf numFmtId="167" fontId="35" fillId="0" borderId="0" xfId="8" applyNumberFormat="1" applyFont="1"/>
    <xf numFmtId="168" fontId="35" fillId="0" borderId="0" xfId="8" applyNumberFormat="1" applyFont="1"/>
    <xf numFmtId="169" fontId="35" fillId="0" borderId="0" xfId="8" applyNumberFormat="1" applyFont="1"/>
    <xf numFmtId="170" fontId="36" fillId="0" borderId="21" xfId="8" applyNumberFormat="1" applyFont="1" applyBorder="1" applyAlignment="1">
      <alignment horizontal="right" vertical="center"/>
    </xf>
    <xf numFmtId="172" fontId="36" fillId="0" borderId="21" xfId="8" applyNumberFormat="1" applyFont="1" applyBorder="1" applyAlignment="1">
      <alignment horizontal="right" vertical="center"/>
    </xf>
    <xf numFmtId="171" fontId="36" fillId="0" borderId="21" xfId="8" applyNumberFormat="1" applyFont="1" applyBorder="1" applyAlignment="1">
      <alignment horizontal="right" vertical="center"/>
    </xf>
    <xf numFmtId="0" fontId="34" fillId="0" borderId="1" xfId="8" applyFont="1" applyBorder="1" applyAlignment="1">
      <alignment horizontal="left"/>
    </xf>
    <xf numFmtId="175" fontId="35" fillId="0" borderId="0" xfId="8" applyNumberFormat="1" applyFont="1"/>
    <xf numFmtId="176" fontId="35" fillId="0" borderId="0" xfId="8" applyNumberFormat="1" applyFont="1"/>
    <xf numFmtId="0" fontId="4" fillId="0" borderId="0" xfId="20"/>
    <xf numFmtId="0" fontId="26" fillId="0" borderId="0" xfId="20" applyFont="1" applyAlignment="1">
      <alignment wrapText="1"/>
    </xf>
    <xf numFmtId="7" fontId="26" fillId="0" borderId="0" xfId="20" applyNumberFormat="1" applyFont="1"/>
    <xf numFmtId="0" fontId="26" fillId="8" borderId="0" xfId="20" applyFont="1" applyFill="1"/>
    <xf numFmtId="7" fontId="26" fillId="8" borderId="0" xfId="20" applyNumberFormat="1" applyFont="1" applyFill="1"/>
    <xf numFmtId="0" fontId="4" fillId="8" borderId="0" xfId="20" applyFill="1"/>
    <xf numFmtId="0" fontId="101" fillId="8" borderId="0" xfId="20" applyFont="1" applyFill="1" applyAlignment="1">
      <alignment wrapText="1"/>
    </xf>
    <xf numFmtId="6" fontId="26" fillId="0" borderId="0" xfId="20" applyNumberFormat="1" applyFont="1"/>
    <xf numFmtId="0" fontId="101" fillId="0" borderId="0" xfId="20" applyFont="1" applyAlignment="1">
      <alignment wrapText="1"/>
    </xf>
    <xf numFmtId="0" fontId="4" fillId="0" borderId="0" xfId="20" applyAlignment="1">
      <alignment wrapText="1"/>
    </xf>
    <xf numFmtId="7" fontId="4" fillId="0" borderId="0" xfId="20" applyNumberFormat="1"/>
    <xf numFmtId="1" fontId="4" fillId="0" borderId="0" xfId="20" applyNumberFormat="1"/>
    <xf numFmtId="6" fontId="4" fillId="0" borderId="0" xfId="20" applyNumberFormat="1"/>
    <xf numFmtId="0" fontId="26" fillId="0" borderId="0" xfId="20" applyFont="1"/>
    <xf numFmtId="0" fontId="26" fillId="0" borderId="0" xfId="20" applyFont="1" applyAlignment="1">
      <alignment horizontal="center"/>
    </xf>
    <xf numFmtId="9" fontId="4" fillId="0" borderId="0" xfId="20" applyNumberFormat="1"/>
    <xf numFmtId="0" fontId="102" fillId="6" borderId="0" xfId="0" applyFont="1" applyFill="1" applyAlignment="1">
      <alignment horizontal="left"/>
    </xf>
    <xf numFmtId="44" fontId="102" fillId="6" borderId="0" xfId="0" applyNumberFormat="1" applyFont="1" applyFill="1"/>
    <xf numFmtId="0" fontId="0" fillId="2" borderId="0" xfId="0" applyFill="1" applyProtection="1">
      <protection locked="0"/>
    </xf>
    <xf numFmtId="0" fontId="82" fillId="10" borderId="0" xfId="0" applyFont="1" applyFill="1" applyAlignment="1">
      <alignment horizontal="center"/>
    </xf>
    <xf numFmtId="0" fontId="0" fillId="2" borderId="1" xfId="0" applyFill="1" applyBorder="1" applyAlignment="1">
      <alignment horizontal="center"/>
    </xf>
    <xf numFmtId="0" fontId="7" fillId="2" borderId="5" xfId="0" applyFont="1" applyFill="1" applyBorder="1" applyAlignment="1">
      <alignment horizontal="left"/>
    </xf>
    <xf numFmtId="0" fontId="7" fillId="2" borderId="0" xfId="0" applyFont="1" applyFill="1" applyAlignment="1">
      <alignment horizontal="left"/>
    </xf>
    <xf numFmtId="0" fontId="7" fillId="2" borderId="13" xfId="0" applyFont="1" applyFill="1" applyBorder="1" applyAlignment="1">
      <alignment horizontal="left"/>
    </xf>
    <xf numFmtId="0" fontId="7" fillId="2" borderId="1" xfId="0" applyFont="1" applyFill="1" applyBorder="1" applyAlignment="1">
      <alignment horizontal="left"/>
    </xf>
    <xf numFmtId="6" fontId="8" fillId="2" borderId="14" xfId="0" applyNumberFormat="1" applyFont="1" applyFill="1" applyBorder="1" applyAlignment="1">
      <alignment horizontal="left" wrapText="1"/>
    </xf>
    <xf numFmtId="0" fontId="0" fillId="2" borderId="10" xfId="0" applyFill="1" applyBorder="1"/>
    <xf numFmtId="0" fontId="0" fillId="2" borderId="54" xfId="0" applyFill="1" applyBorder="1"/>
    <xf numFmtId="0" fontId="26" fillId="0" borderId="0" xfId="20" applyFont="1" applyAlignment="1">
      <alignment wrapText="1"/>
    </xf>
    <xf numFmtId="0" fontId="26" fillId="0" borderId="0" xfId="20" applyFont="1"/>
    <xf numFmtId="0" fontId="4" fillId="0" borderId="0" xfId="20"/>
    <xf numFmtId="0" fontId="37" fillId="0" borderId="0" xfId="8" applyFont="1" applyAlignment="1">
      <alignment horizontal="left" wrapText="1"/>
    </xf>
    <xf numFmtId="0" fontId="37" fillId="0" borderId="0" xfId="8" applyFont="1" applyAlignment="1">
      <alignment horizontal="left" vertical="top" wrapText="1"/>
    </xf>
    <xf numFmtId="0" fontId="58" fillId="4" borderId="38" xfId="0" applyFont="1" applyFill="1" applyBorder="1" applyAlignment="1">
      <alignment horizontal="center" vertical="center"/>
    </xf>
    <xf numFmtId="0" fontId="58" fillId="4" borderId="39" xfId="0" applyFont="1" applyFill="1" applyBorder="1" applyAlignment="1">
      <alignment horizontal="center" vertical="center"/>
    </xf>
    <xf numFmtId="0" fontId="58" fillId="4" borderId="40" xfId="0" applyFont="1" applyFill="1" applyBorder="1" applyAlignment="1">
      <alignment horizontal="center" vertical="center"/>
    </xf>
    <xf numFmtId="0" fontId="57" fillId="4" borderId="38" xfId="0" applyFont="1" applyFill="1" applyBorder="1" applyAlignment="1">
      <alignment horizontal="center" vertical="center"/>
    </xf>
    <xf numFmtId="0" fontId="57" fillId="4" borderId="39" xfId="0" applyFont="1" applyFill="1" applyBorder="1" applyAlignment="1">
      <alignment horizontal="center" vertical="center"/>
    </xf>
    <xf numFmtId="0" fontId="57" fillId="4" borderId="40" xfId="0" applyFont="1" applyFill="1" applyBorder="1" applyAlignment="1">
      <alignment horizontal="center" vertical="center"/>
    </xf>
    <xf numFmtId="0" fontId="0" fillId="0" borderId="81" xfId="0" applyBorder="1" applyAlignment="1">
      <alignment vertical="center" wrapText="1"/>
    </xf>
    <xf numFmtId="0" fontId="12" fillId="0" borderId="45" xfId="0" applyFont="1" applyBorder="1" applyAlignment="1">
      <alignment vertical="center"/>
    </xf>
    <xf numFmtId="0" fontId="12" fillId="0" borderId="47" xfId="0" applyFont="1" applyBorder="1" applyAlignment="1">
      <alignment vertical="center"/>
    </xf>
    <xf numFmtId="0" fontId="12" fillId="0" borderId="5" xfId="0" applyFont="1" applyBorder="1" applyAlignment="1">
      <alignment vertical="center"/>
    </xf>
    <xf numFmtId="0" fontId="12" fillId="0" borderId="0" xfId="0" applyFont="1" applyAlignment="1">
      <alignment vertical="center"/>
    </xf>
    <xf numFmtId="0" fontId="12" fillId="0" borderId="6" xfId="0" applyFont="1" applyBorder="1" applyAlignment="1">
      <alignment vertical="center"/>
    </xf>
    <xf numFmtId="0" fontId="12" fillId="0" borderId="69" xfId="0" applyFont="1" applyBorder="1" applyAlignment="1">
      <alignment vertical="center"/>
    </xf>
    <xf numFmtId="0" fontId="12" fillId="0" borderId="48" xfId="0" applyFont="1" applyBorder="1" applyAlignment="1">
      <alignment vertical="center"/>
    </xf>
    <xf numFmtId="0" fontId="12" fillId="0" borderId="70" xfId="0" applyFont="1" applyBorder="1" applyAlignment="1">
      <alignment vertical="center"/>
    </xf>
    <xf numFmtId="0" fontId="46" fillId="4" borderId="38" xfId="9" applyFont="1" applyFill="1" applyBorder="1" applyAlignment="1">
      <alignment horizontal="center" vertical="center"/>
    </xf>
    <xf numFmtId="0" fontId="46" fillId="4" borderId="39" xfId="9" applyFont="1" applyFill="1" applyBorder="1" applyAlignment="1">
      <alignment horizontal="center" vertical="center"/>
    </xf>
    <xf numFmtId="0" fontId="46" fillId="4" borderId="40" xfId="9" applyFont="1" applyFill="1" applyBorder="1" applyAlignment="1">
      <alignment horizontal="center" vertical="center"/>
    </xf>
    <xf numFmtId="0" fontId="43" fillId="4" borderId="38" xfId="9" applyFont="1" applyFill="1" applyBorder="1" applyAlignment="1">
      <alignment horizontal="center" vertical="center"/>
    </xf>
    <xf numFmtId="0" fontId="43" fillId="4" borderId="39" xfId="9" applyFont="1" applyFill="1" applyBorder="1" applyAlignment="1">
      <alignment horizontal="center" vertical="center"/>
    </xf>
    <xf numFmtId="0" fontId="43" fillId="4" borderId="40" xfId="9" applyFont="1" applyFill="1" applyBorder="1" applyAlignment="1">
      <alignment horizontal="center" vertical="center"/>
    </xf>
    <xf numFmtId="0" fontId="12" fillId="0" borderId="2" xfId="9" applyBorder="1" applyAlignment="1">
      <alignment vertical="center" wrapText="1"/>
    </xf>
    <xf numFmtId="0" fontId="12" fillId="0" borderId="3" xfId="9" applyBorder="1">
      <alignment vertical="center"/>
    </xf>
    <xf numFmtId="0" fontId="12" fillId="0" borderId="4" xfId="9" applyBorder="1">
      <alignment vertical="center"/>
    </xf>
    <xf numFmtId="0" fontId="12" fillId="0" borderId="5" xfId="9" applyBorder="1">
      <alignment vertical="center"/>
    </xf>
    <xf numFmtId="0" fontId="12" fillId="0" borderId="0" xfId="9">
      <alignment vertical="center"/>
    </xf>
    <xf numFmtId="0" fontId="12" fillId="0" borderId="6" xfId="9" applyBorder="1">
      <alignment vertical="center"/>
    </xf>
    <xf numFmtId="0" fontId="12" fillId="0" borderId="69" xfId="9" applyBorder="1">
      <alignment vertical="center"/>
    </xf>
    <xf numFmtId="0" fontId="12" fillId="0" borderId="48" xfId="9" applyBorder="1">
      <alignment vertical="center"/>
    </xf>
    <xf numFmtId="0" fontId="12" fillId="0" borderId="70" xfId="9" applyBorder="1">
      <alignment vertical="center"/>
    </xf>
    <xf numFmtId="0" fontId="56" fillId="0" borderId="0" xfId="0" applyFont="1" applyAlignment="1">
      <alignment horizontal="center"/>
    </xf>
    <xf numFmtId="0" fontId="0" fillId="0" borderId="0" xfId="0" applyAlignment="1">
      <alignment horizontal="center"/>
    </xf>
    <xf numFmtId="0" fontId="1" fillId="4" borderId="12" xfId="19" applyFill="1" applyBorder="1" applyAlignment="1">
      <alignment horizontal="center"/>
    </xf>
  </cellXfs>
  <cellStyles count="21">
    <cellStyle name="Comma" xfId="6" builtinId="3"/>
    <cellStyle name="Comma 2" xfId="11" xr:uid="{63D71DD1-1531-496A-9CDC-B8D6A4F60D65}"/>
    <cellStyle name="Comma 3" xfId="14" xr:uid="{B506F795-CF94-4DE2-B423-8B61F4BD9AF5}"/>
    <cellStyle name="Currency" xfId="1" builtinId="4"/>
    <cellStyle name="Currency 2" xfId="10" xr:uid="{5FEDC63B-DA29-4E61-A9E6-91AB125F3F88}"/>
    <cellStyle name="Currency 3" xfId="15" xr:uid="{F1D68D58-0AB5-4F06-940B-D5EE3A9F81C2}"/>
    <cellStyle name="Currency 4" xfId="18" xr:uid="{8D2A9E68-C713-4522-9A39-2E0B0AAD3456}"/>
    <cellStyle name="Normal" xfId="0" builtinId="0"/>
    <cellStyle name="Normal 2" xfId="2" xr:uid="{00000000-0005-0000-0000-000003000000}"/>
    <cellStyle name="Normal 2 2" xfId="8" xr:uid="{4E19AD44-F4D4-4E9E-9B09-7018D328C98F}"/>
    <cellStyle name="Normal 3" xfId="4" xr:uid="{00000000-0005-0000-0000-000004000000}"/>
    <cellStyle name="Normal 4" xfId="5" xr:uid="{00000000-0005-0000-0000-000005000000}"/>
    <cellStyle name="Normal 5" xfId="7" xr:uid="{DC68E8DE-5440-4B25-B064-83689503A072}"/>
    <cellStyle name="Normal 6" xfId="9" xr:uid="{A528010D-7AB8-40F0-904A-E0688C23CC6B}"/>
    <cellStyle name="Normal 7" xfId="12" xr:uid="{41BA56B0-5B4B-4C49-90E3-CF221FBECD4B}"/>
    <cellStyle name="Normal 8" xfId="17" xr:uid="{75FCD86C-9522-4A45-AE5D-1B28622F5116}"/>
    <cellStyle name="Normal 8 2" xfId="19" xr:uid="{E0150A26-3136-41C2-B95C-D9BDEF8EA4DA}"/>
    <cellStyle name="Normal 9" xfId="20" xr:uid="{C61FA272-2FA0-4930-A3A6-8750211C96C0}"/>
    <cellStyle name="Percent" xfId="3" builtinId="5"/>
    <cellStyle name="Percent 2" xfId="13" xr:uid="{356192F3-43CA-4DE4-88BB-0C0C24AAB83E}"/>
    <cellStyle name="Percent 3" xfId="16" xr:uid="{5925201B-08A5-49EA-82BF-4AEBB4D8277A}"/>
  </cellStyles>
  <dxfs count="4">
    <dxf>
      <font>
        <color rgb="FFFF0000"/>
      </font>
      <fill>
        <patternFill>
          <bgColor theme="5" tint="0.59996337778862885"/>
        </patternFill>
      </fill>
    </dxf>
    <dxf>
      <font>
        <color rgb="FF00B050"/>
      </font>
      <fill>
        <patternFill>
          <bgColor theme="6" tint="0.59996337778862885"/>
        </patternFill>
      </fill>
    </dxf>
    <dxf>
      <font>
        <color rgb="FFFF0000"/>
      </font>
      <fill>
        <patternFill>
          <bgColor theme="5" tint="0.59996337778862885"/>
        </patternFill>
      </fill>
    </dxf>
    <dxf>
      <font>
        <color rgb="FF00B050"/>
      </font>
      <fill>
        <patternFill>
          <bgColor theme="6" tint="0.59996337778862885"/>
        </patternFill>
      </fill>
    </dxf>
  </dxfs>
  <tableStyles count="0" defaultTableStyle="TableStyleMedium9" defaultPivotStyle="PivotStyleLight16"/>
  <colors>
    <mruColors>
      <color rgb="FFFAF0F0"/>
      <color rgb="FFF7F9F1"/>
      <color rgb="FFFFFF99"/>
      <color rgb="FF99CCFF"/>
      <color rgb="FFCCFFFF"/>
      <color rgb="FFCCFF99"/>
      <color rgb="FFFF66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Tipping Fees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Actuals</c:v>
          </c:tx>
          <c:spPr>
            <a:ln w="28575" cap="rnd">
              <a:solidFill>
                <a:schemeClr val="accent1"/>
              </a:solidFill>
              <a:round/>
            </a:ln>
            <a:effectLst/>
          </c:spPr>
          <c:marker>
            <c:symbol val="none"/>
          </c:marker>
          <c:cat>
            <c:numRef>
              <c:f>'Model Run'!$E$27:$E$69</c:f>
              <c:numCache>
                <c:formatCode>General</c:formatCode>
                <c:ptCount val="4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numCache>
            </c:numRef>
          </c:cat>
          <c:val>
            <c:numRef>
              <c:f>'Model Run'!$F$27:$F$69</c:f>
              <c:numCache>
                <c:formatCode>_("$"* #,##0.00_);_("$"* \(#,##0.00\);_("$"* "-"??_);_(@_)</c:formatCode>
                <c:ptCount val="43"/>
                <c:pt idx="0" formatCode="&quot;$&quot;#,##0.00_);\(&quot;$&quot;#,##0.00\)">
                  <c:v>65.430000000000007</c:v>
                </c:pt>
                <c:pt idx="1">
                  <c:v>65.430000000000007</c:v>
                </c:pt>
                <c:pt idx="2">
                  <c:v>65.430000000000007</c:v>
                </c:pt>
                <c:pt idx="3">
                  <c:v>71.497127610000007</c:v>
                </c:pt>
                <c:pt idx="4">
                  <c:v>71.497127610000007</c:v>
                </c:pt>
                <c:pt idx="5">
                  <c:v>71.497127610000007</c:v>
                </c:pt>
                <c:pt idx="6" formatCode="&quot;$&quot;#,##0.00_);\(&quot;$&quot;#,##0.00\)">
                  <c:v>64.930000000000007</c:v>
                </c:pt>
                <c:pt idx="7">
                  <c:v>64.930000000000007</c:v>
                </c:pt>
                <c:pt idx="8">
                  <c:v>64.930000000000007</c:v>
                </c:pt>
                <c:pt idx="9">
                  <c:v>70.950764110000009</c:v>
                </c:pt>
                <c:pt idx="10">
                  <c:v>70.950764110000009</c:v>
                </c:pt>
                <c:pt idx="11">
                  <c:v>70.950764110000009</c:v>
                </c:pt>
                <c:pt idx="12" formatCode="&quot;$&quot;#,##0.00_);\(&quot;$&quot;#,##0.00\)">
                  <c:v>73.150000000000006</c:v>
                </c:pt>
                <c:pt idx="13">
                  <c:v>73.150000000000006</c:v>
                </c:pt>
                <c:pt idx="14">
                  <c:v>73.150000000000006</c:v>
                </c:pt>
                <c:pt idx="15">
                  <c:v>79.932980050000012</c:v>
                </c:pt>
                <c:pt idx="16">
                  <c:v>79.932980050000012</c:v>
                </c:pt>
                <c:pt idx="17">
                  <c:v>79.932980050000012</c:v>
                </c:pt>
                <c:pt idx="18" formatCode="&quot;$&quot;#,##0.00_);\(&quot;$&quot;#,##0.00\)">
                  <c:v>68.36</c:v>
                </c:pt>
                <c:pt idx="19">
                  <c:v>68.36</c:v>
                </c:pt>
                <c:pt idx="20">
                  <c:v>68.36</c:v>
                </c:pt>
                <c:pt idx="21">
                  <c:v>74.698817719999994</c:v>
                </c:pt>
                <c:pt idx="22">
                  <c:v>74.698817719999994</c:v>
                </c:pt>
                <c:pt idx="23">
                  <c:v>74.698817719999994</c:v>
                </c:pt>
                <c:pt idx="24" formatCode="&quot;$&quot;#,##0.00_);\(&quot;$&quot;#,##0.00\)">
                  <c:v>78.86</c:v>
                </c:pt>
                <c:pt idx="25">
                  <c:v>78.86</c:v>
                </c:pt>
                <c:pt idx="26">
                  <c:v>78.86</c:v>
                </c:pt>
                <c:pt idx="27">
                  <c:v>86.172451219999999</c:v>
                </c:pt>
                <c:pt idx="28">
                  <c:v>86.172451219999999</c:v>
                </c:pt>
                <c:pt idx="29">
                  <c:v>86.172451219999999</c:v>
                </c:pt>
                <c:pt idx="30" formatCode="&quot;$&quot;#,##0.00_);\(&quot;$&quot;#,##0.00\)">
                  <c:v>78.790000000000006</c:v>
                </c:pt>
                <c:pt idx="31">
                  <c:v>78.790000000000006</c:v>
                </c:pt>
                <c:pt idx="32">
                  <c:v>78.790000000000006</c:v>
                </c:pt>
                <c:pt idx="33">
                  <c:v>86.095960330000011</c:v>
                </c:pt>
                <c:pt idx="34">
                  <c:v>86.095960330000011</c:v>
                </c:pt>
                <c:pt idx="35">
                  <c:v>86.095960330000011</c:v>
                </c:pt>
                <c:pt idx="36" formatCode="&quot;$&quot;#,##0.00_);\(&quot;$&quot;#,##0.00\)">
                  <c:v>91.7</c:v>
                </c:pt>
                <c:pt idx="37">
                  <c:v>91.7</c:v>
                </c:pt>
                <c:pt idx="38">
                  <c:v>91.7</c:v>
                </c:pt>
                <c:pt idx="39">
                  <c:v>100.2030659</c:v>
                </c:pt>
                <c:pt idx="40">
                  <c:v>100.2030659</c:v>
                </c:pt>
                <c:pt idx="41">
                  <c:v>100.2030659</c:v>
                </c:pt>
                <c:pt idx="42" formatCode="&quot;$&quot;#,##0.00_);\(&quot;$&quot;#,##0.00\)">
                  <c:v>50.5</c:v>
                </c:pt>
              </c:numCache>
            </c:numRef>
          </c:val>
          <c:smooth val="0"/>
          <c:extLst>
            <c:ext xmlns:c16="http://schemas.microsoft.com/office/drawing/2014/chart" uri="{C3380CC4-5D6E-409C-BE32-E72D297353CC}">
              <c16:uniqueId val="{00000000-BEEF-46E8-9EAB-7638358E2069}"/>
            </c:ext>
          </c:extLst>
        </c:ser>
        <c:ser>
          <c:idx val="1"/>
          <c:order val="1"/>
          <c:tx>
            <c:v>Adjusted</c:v>
          </c:tx>
          <c:spPr>
            <a:ln w="28575" cap="rnd">
              <a:solidFill>
                <a:schemeClr val="accent3"/>
              </a:solidFill>
              <a:round/>
            </a:ln>
            <a:effectLst/>
          </c:spPr>
          <c:marker>
            <c:symbol val="none"/>
          </c:marker>
          <c:cat>
            <c:numRef>
              <c:f>'Model Run'!$E$27:$E$69</c:f>
              <c:numCache>
                <c:formatCode>General</c:formatCode>
                <c:ptCount val="43"/>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pt idx="27">
                  <c:v>2051</c:v>
                </c:pt>
                <c:pt idx="28">
                  <c:v>2052</c:v>
                </c:pt>
                <c:pt idx="29">
                  <c:v>2053</c:v>
                </c:pt>
                <c:pt idx="30">
                  <c:v>2054</c:v>
                </c:pt>
                <c:pt idx="31">
                  <c:v>2055</c:v>
                </c:pt>
                <c:pt idx="32">
                  <c:v>2056</c:v>
                </c:pt>
                <c:pt idx="33">
                  <c:v>2057</c:v>
                </c:pt>
                <c:pt idx="34">
                  <c:v>2058</c:v>
                </c:pt>
                <c:pt idx="35">
                  <c:v>2059</c:v>
                </c:pt>
                <c:pt idx="36">
                  <c:v>2060</c:v>
                </c:pt>
                <c:pt idx="37">
                  <c:v>2061</c:v>
                </c:pt>
                <c:pt idx="38">
                  <c:v>2062</c:v>
                </c:pt>
                <c:pt idx="39">
                  <c:v>2063</c:v>
                </c:pt>
                <c:pt idx="40">
                  <c:v>2064</c:v>
                </c:pt>
                <c:pt idx="41">
                  <c:v>2065</c:v>
                </c:pt>
                <c:pt idx="42">
                  <c:v>2066</c:v>
                </c:pt>
              </c:numCache>
            </c:numRef>
          </c:cat>
          <c:val>
            <c:numRef>
              <c:f>'Model Run'!$G$27:$G$69</c:f>
              <c:numCache>
                <c:formatCode>_("$"* #,##0.00_);_("$"* \(#,##0.00\);_("$"* "-"??_);_(@_)</c:formatCode>
                <c:ptCount val="43"/>
                <c:pt idx="0">
                  <c:v>65.430000000000007</c:v>
                </c:pt>
                <c:pt idx="1">
                  <c:v>63.524271844660198</c:v>
                </c:pt>
                <c:pt idx="2">
                  <c:v>61.674050334621555</c:v>
                </c:pt>
                <c:pt idx="3">
                  <c:v>65.430000000000007</c:v>
                </c:pt>
                <c:pt idx="4">
                  <c:v>63.524271844660205</c:v>
                </c:pt>
                <c:pt idx="5">
                  <c:v>61.674050334621562</c:v>
                </c:pt>
                <c:pt idx="6">
                  <c:v>54.377852786469688</c:v>
                </c:pt>
                <c:pt idx="7">
                  <c:v>52.794031831523967</c:v>
                </c:pt>
                <c:pt idx="8">
                  <c:v>51.256341584003856</c:v>
                </c:pt>
                <c:pt idx="9">
                  <c:v>54.377852786469688</c:v>
                </c:pt>
                <c:pt idx="10">
                  <c:v>52.794031831523974</c:v>
                </c:pt>
                <c:pt idx="11">
                  <c:v>51.256341584003856</c:v>
                </c:pt>
                <c:pt idx="12">
                  <c:v>51.305938236115992</c:v>
                </c:pt>
                <c:pt idx="13">
                  <c:v>49.811590520500971</c:v>
                </c:pt>
                <c:pt idx="14">
                  <c:v>48.360767495632004</c:v>
                </c:pt>
                <c:pt idx="15">
                  <c:v>51.305938236115992</c:v>
                </c:pt>
                <c:pt idx="16">
                  <c:v>49.811590520500971</c:v>
                </c:pt>
                <c:pt idx="17">
                  <c:v>48.360767495632011</c:v>
                </c:pt>
                <c:pt idx="18">
                  <c:v>40.154295376649088</c:v>
                </c:pt>
                <c:pt idx="19">
                  <c:v>38.984752792863191</c:v>
                </c:pt>
                <c:pt idx="20">
                  <c:v>37.849274556177861</c:v>
                </c:pt>
                <c:pt idx="21">
                  <c:v>40.154295376649088</c:v>
                </c:pt>
                <c:pt idx="22">
                  <c:v>38.984752792863191</c:v>
                </c:pt>
                <c:pt idx="23">
                  <c:v>37.849274556177853</c:v>
                </c:pt>
                <c:pt idx="24">
                  <c:v>38.793894447733713</c:v>
                </c:pt>
                <c:pt idx="25">
                  <c:v>37.66397519197448</c:v>
                </c:pt>
                <c:pt idx="26">
                  <c:v>36.566966205800462</c:v>
                </c:pt>
                <c:pt idx="27">
                  <c:v>38.793894447733713</c:v>
                </c:pt>
                <c:pt idx="28">
                  <c:v>37.66397519197448</c:v>
                </c:pt>
                <c:pt idx="29">
                  <c:v>36.566966205800469</c:v>
                </c:pt>
                <c:pt idx="30">
                  <c:v>32.460436782258306</c:v>
                </c:pt>
                <c:pt idx="31">
                  <c:v>31.51498716724107</c:v>
                </c:pt>
                <c:pt idx="32">
                  <c:v>30.597074919651529</c:v>
                </c:pt>
                <c:pt idx="33">
                  <c:v>32.460436782258306</c:v>
                </c:pt>
                <c:pt idx="34">
                  <c:v>31.514987167241081</c:v>
                </c:pt>
                <c:pt idx="35">
                  <c:v>30.597074919651529</c:v>
                </c:pt>
                <c:pt idx="36">
                  <c:v>31.639473377698177</c:v>
                </c:pt>
                <c:pt idx="37">
                  <c:v>30.717935318153575</c:v>
                </c:pt>
                <c:pt idx="38">
                  <c:v>29.823238172964636</c:v>
                </c:pt>
                <c:pt idx="39">
                  <c:v>31.639473377698177</c:v>
                </c:pt>
                <c:pt idx="40">
                  <c:v>30.717935318153575</c:v>
                </c:pt>
                <c:pt idx="41">
                  <c:v>29.823238172964633</c:v>
                </c:pt>
                <c:pt idx="42">
                  <c:v>14.592440813533079</c:v>
                </c:pt>
              </c:numCache>
            </c:numRef>
          </c:val>
          <c:smooth val="0"/>
          <c:extLst>
            <c:ext xmlns:c16="http://schemas.microsoft.com/office/drawing/2014/chart" uri="{C3380CC4-5D6E-409C-BE32-E72D297353CC}">
              <c16:uniqueId val="{00000001-BEEF-46E8-9EAB-7638358E2069}"/>
            </c:ext>
          </c:extLst>
        </c:ser>
        <c:dLbls>
          <c:showLegendKey val="0"/>
          <c:showVal val="0"/>
          <c:showCatName val="0"/>
          <c:showSerName val="0"/>
          <c:showPercent val="0"/>
          <c:showBubbleSize val="0"/>
        </c:dLbls>
        <c:smooth val="0"/>
        <c:axId val="1994552416"/>
        <c:axId val="1994552832"/>
      </c:lineChart>
      <c:catAx>
        <c:axId val="199455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552832"/>
        <c:crosses val="autoZero"/>
        <c:auto val="1"/>
        <c:lblAlgn val="ctr"/>
        <c:lblOffset val="100"/>
        <c:noMultiLvlLbl val="0"/>
      </c:catAx>
      <c:valAx>
        <c:axId val="19945528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455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Ending Balance vs Tipping Fees</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lineChart>
        <c:grouping val="standard"/>
        <c:varyColors val="0"/>
        <c:ser>
          <c:idx val="0"/>
          <c:order val="0"/>
          <c:tx>
            <c:strRef>
              <c:f>Forecast_Summary!$A$42</c:f>
              <c:strCache>
                <c:ptCount val="1"/>
                <c:pt idx="0">
                  <c:v>Ending Balance</c:v>
                </c:pt>
              </c:strCache>
            </c:strRef>
          </c:tx>
          <c:spPr>
            <a:ln w="28575" cap="rnd">
              <a:solidFill>
                <a:srgbClr val="002060"/>
              </a:solidFill>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Forecast_Summary!$D$42:$AU$42</c:f>
              <c:numCache>
                <c:formatCode>_("$"* #,##0.00_);_("$"* \(#,##0.00\);_("$"* "-"??_);_(@_)</c:formatCode>
                <c:ptCount val="44"/>
                <c:pt idx="0">
                  <c:v>6170571</c:v>
                </c:pt>
                <c:pt idx="1">
                  <c:v>541425.75261217263</c:v>
                </c:pt>
                <c:pt idx="2">
                  <c:v>1057293.5035090921</c:v>
                </c:pt>
                <c:pt idx="3">
                  <c:v>1207143.3359061396</c:v>
                </c:pt>
                <c:pt idx="4">
                  <c:v>1597882.1173693342</c:v>
                </c:pt>
                <c:pt idx="5">
                  <c:v>2010716.8464805642</c:v>
                </c:pt>
                <c:pt idx="6">
                  <c:v>2441242.0609799698</c:v>
                </c:pt>
                <c:pt idx="7">
                  <c:v>2326165.8185473951</c:v>
                </c:pt>
                <c:pt idx="8">
                  <c:v>2215984.5672967052</c:v>
                </c:pt>
                <c:pt idx="9">
                  <c:v>2116066.7397905858</c:v>
                </c:pt>
                <c:pt idx="10">
                  <c:v>2231045.9016284607</c:v>
                </c:pt>
                <c:pt idx="11">
                  <c:v>2215179.1360563887</c:v>
                </c:pt>
                <c:pt idx="12">
                  <c:v>2310229.7334957821</c:v>
                </c:pt>
                <c:pt idx="13">
                  <c:v>2377908.1715587275</c:v>
                </c:pt>
                <c:pt idx="14">
                  <c:v>2455111.155209844</c:v>
                </c:pt>
                <c:pt idx="15">
                  <c:v>2547284.8998184064</c:v>
                </c:pt>
                <c:pt idx="16">
                  <c:v>2954173.9951450163</c:v>
                </c:pt>
                <c:pt idx="17">
                  <c:v>3379577.3328103144</c:v>
                </c:pt>
                <c:pt idx="18">
                  <c:v>4148888.620506906</c:v>
                </c:pt>
                <c:pt idx="19">
                  <c:v>3706774.4502113918</c:v>
                </c:pt>
                <c:pt idx="20">
                  <c:v>3261924.5149691068</c:v>
                </c:pt>
                <c:pt idx="21">
                  <c:v>2814391.1650946317</c:v>
                </c:pt>
                <c:pt idx="22">
                  <c:v>2846294.8461685264</c:v>
                </c:pt>
                <c:pt idx="23">
                  <c:v>2888354.9334252896</c:v>
                </c:pt>
                <c:pt idx="24">
                  <c:v>2940961.0637805732</c:v>
                </c:pt>
                <c:pt idx="25">
                  <c:v>3091933.4027176229</c:v>
                </c:pt>
                <c:pt idx="26">
                  <c:v>3256784.6619905094</c:v>
                </c:pt>
                <c:pt idx="27">
                  <c:v>3435982.4922809443</c:v>
                </c:pt>
                <c:pt idx="28">
                  <c:v>4033113.8524066443</c:v>
                </c:pt>
                <c:pt idx="29">
                  <c:v>4651407.2550140908</c:v>
                </c:pt>
                <c:pt idx="30">
                  <c:v>5296785.9627021225</c:v>
                </c:pt>
                <c:pt idx="31">
                  <c:v>4650290.7474569147</c:v>
                </c:pt>
                <c:pt idx="32">
                  <c:v>4294718.4843270937</c:v>
                </c:pt>
                <c:pt idx="33">
                  <c:v>3936161.1801406657</c:v>
                </c:pt>
                <c:pt idx="34">
                  <c:v>3993997.3340634229</c:v>
                </c:pt>
                <c:pt idx="35">
                  <c:v>4060388.4440915613</c:v>
                </c:pt>
                <c:pt idx="36">
                  <c:v>4135830.7098304322</c:v>
                </c:pt>
                <c:pt idx="37">
                  <c:v>4390964.6216012584</c:v>
                </c:pt>
                <c:pt idx="38">
                  <c:v>4655714.6482318444</c:v>
                </c:pt>
                <c:pt idx="39">
                  <c:v>4935849.6909889458</c:v>
                </c:pt>
                <c:pt idx="40">
                  <c:v>5785910.8122911276</c:v>
                </c:pt>
                <c:pt idx="41">
                  <c:v>6667542.3683357397</c:v>
                </c:pt>
                <c:pt idx="42">
                  <c:v>8958818.07342894</c:v>
                </c:pt>
                <c:pt idx="43">
                  <c:v>3764689.3025597259</c:v>
                </c:pt>
              </c:numCache>
            </c:numRef>
          </c:val>
          <c:smooth val="0"/>
          <c:extLst>
            <c:ext xmlns:c16="http://schemas.microsoft.com/office/drawing/2014/chart" uri="{C3380CC4-5D6E-409C-BE32-E72D297353CC}">
              <c16:uniqueId val="{00000000-E9A4-43CA-B8EF-5AD3E49B6EEB}"/>
            </c:ext>
          </c:extLst>
        </c:ser>
        <c:ser>
          <c:idx val="3"/>
          <c:order val="3"/>
          <c:tx>
            <c:v>Minimum Fund Balance</c:v>
          </c:tx>
          <c:spPr>
            <a:ln w="15875" cap="rnd">
              <a:solidFill>
                <a:schemeClr val="tx1">
                  <a:lumMod val="50000"/>
                  <a:lumOff val="50000"/>
                </a:schemeClr>
              </a:solidFill>
              <a:prstDash val="dash"/>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Forecast_Summary!$D$44:$AU$44</c:f>
              <c:numCache>
                <c:formatCode>"$"#,##0.00</c:formatCode>
                <c:ptCount val="44"/>
                <c:pt idx="2">
                  <c:v>965095.65487341606</c:v>
                </c:pt>
                <c:pt idx="3">
                  <c:v>788599.90474725352</c:v>
                </c:pt>
                <c:pt idx="4">
                  <c:v>792864.99217573018</c:v>
                </c:pt>
                <c:pt idx="5">
                  <c:v>803540.07561855786</c:v>
                </c:pt>
                <c:pt idx="6">
                  <c:v>1422150.7961607494</c:v>
                </c:pt>
                <c:pt idx="7">
                  <c:v>1448284.734246636</c:v>
                </c:pt>
                <c:pt idx="8">
                  <c:v>1468619.955755871</c:v>
                </c:pt>
                <c:pt idx="9">
                  <c:v>1345808.2293149673</c:v>
                </c:pt>
                <c:pt idx="10">
                  <c:v>1547220.1832374057</c:v>
                </c:pt>
                <c:pt idx="11">
                  <c:v>1447497.0274591877</c:v>
                </c:pt>
                <c:pt idx="12">
                  <c:v>1572494.8981473653</c:v>
                </c:pt>
                <c:pt idx="13">
                  <c:v>1603041.7977253248</c:v>
                </c:pt>
                <c:pt idx="14">
                  <c:v>1627979.0559390981</c:v>
                </c:pt>
                <c:pt idx="15">
                  <c:v>1426360.3675092405</c:v>
                </c:pt>
                <c:pt idx="16">
                  <c:v>1453131.7132753481</c:v>
                </c:pt>
                <c:pt idx="17">
                  <c:v>1074585.8300238189</c:v>
                </c:pt>
                <c:pt idx="18">
                  <c:v>2407478.1722348426</c:v>
                </c:pt>
                <c:pt idx="19">
                  <c:v>2459168.0100906612</c:v>
                </c:pt>
                <c:pt idx="20">
                  <c:v>2512185.1199293463</c:v>
                </c:pt>
                <c:pt idx="21">
                  <c:v>2064112.7124441585</c:v>
                </c:pt>
                <c:pt idx="22">
                  <c:v>2106564.3672552705</c:v>
                </c:pt>
                <c:pt idx="23">
                  <c:v>2150087.548332762</c:v>
                </c:pt>
                <c:pt idx="24">
                  <c:v>2202837.281311933</c:v>
                </c:pt>
                <c:pt idx="25">
                  <c:v>2248585.1936500892</c:v>
                </c:pt>
                <c:pt idx="26">
                  <c:v>2295547.6132666003</c:v>
                </c:pt>
                <c:pt idx="27">
                  <c:v>2053241.1458812172</c:v>
                </c:pt>
                <c:pt idx="28">
                  <c:v>2101094.8409498911</c:v>
                </c:pt>
                <c:pt idx="29">
                  <c:v>2143678.8289060332</c:v>
                </c:pt>
                <c:pt idx="30">
                  <c:v>3639981.2616052292</c:v>
                </c:pt>
                <c:pt idx="31">
                  <c:v>3281921.5052448288</c:v>
                </c:pt>
                <c:pt idx="32">
                  <c:v>3361687.5918001421</c:v>
                </c:pt>
                <c:pt idx="33">
                  <c:v>3165443.9745624028</c:v>
                </c:pt>
                <c:pt idx="34">
                  <c:v>3241787.9861526396</c:v>
                </c:pt>
                <c:pt idx="35">
                  <c:v>3320057.6807225812</c:v>
                </c:pt>
                <c:pt idx="36">
                  <c:v>3397144.3031465076</c:v>
                </c:pt>
                <c:pt idx="37">
                  <c:v>3485611.2409920935</c:v>
                </c:pt>
                <c:pt idx="38">
                  <c:v>3569770.5823564529</c:v>
                </c:pt>
                <c:pt idx="39">
                  <c:v>3299823.3237120602</c:v>
                </c:pt>
                <c:pt idx="40">
                  <c:v>3376413.0464735869</c:v>
                </c:pt>
                <c:pt idx="41">
                  <c:v>1476850.8663205898</c:v>
                </c:pt>
                <c:pt idx="42">
                  <c:v>8957364.9386408012</c:v>
                </c:pt>
                <c:pt idx="43">
                  <c:v>3000000</c:v>
                </c:pt>
              </c:numCache>
            </c:numRef>
          </c:val>
          <c:smooth val="0"/>
          <c:extLst>
            <c:ext xmlns:c16="http://schemas.microsoft.com/office/drawing/2014/chart" uri="{C3380CC4-5D6E-409C-BE32-E72D297353CC}">
              <c16:uniqueId val="{00000001-E9A4-43CA-B8EF-5AD3E49B6EEB}"/>
            </c:ext>
          </c:extLst>
        </c:ser>
        <c:dLbls>
          <c:showLegendKey val="0"/>
          <c:showVal val="0"/>
          <c:showCatName val="0"/>
          <c:showSerName val="0"/>
          <c:showPercent val="0"/>
          <c:showBubbleSize val="0"/>
        </c:dLbls>
        <c:marker val="1"/>
        <c:smooth val="0"/>
        <c:axId val="799031136"/>
        <c:axId val="799025728"/>
      </c:lineChart>
      <c:lineChart>
        <c:grouping val="standard"/>
        <c:varyColors val="0"/>
        <c:ser>
          <c:idx val="1"/>
          <c:order val="1"/>
          <c:tx>
            <c:strRef>
              <c:f>Forecast_Landfill!$C$43</c:f>
              <c:strCache>
                <c:ptCount val="1"/>
                <c:pt idx="0">
                  <c:v>In-District Waste (Tipping Fee)</c:v>
                </c:pt>
              </c:strCache>
            </c:strRef>
          </c:tx>
          <c:spPr>
            <a:ln w="28575" cap="rnd">
              <a:solidFill>
                <a:schemeClr val="accent6">
                  <a:lumMod val="75000"/>
                </a:schemeClr>
              </a:solidFill>
              <a:round/>
            </a:ln>
            <a:effectLst/>
          </c:spPr>
          <c:marker>
            <c:symbol val="none"/>
          </c:marker>
          <c:val>
            <c:numRef>
              <c:f>Forecast_Landfill!$D$43:$AU$43</c:f>
              <c:numCache>
                <c:formatCode>"$"#,##0.00_);\("$"#,##0.00\)</c:formatCode>
                <c:ptCount val="44"/>
                <c:pt idx="0" formatCode="_(&quot;$&quot;* #,##0.00_);_(&quot;$&quot;* \(#,##0.00\);_(&quot;$&quot;* &quot;-&quot;??_);_(@_)">
                  <c:v>0</c:v>
                </c:pt>
                <c:pt idx="1">
                  <c:v>65.430000000000007</c:v>
                </c:pt>
                <c:pt idx="2" formatCode="_(&quot;$&quot;* #,##0.00_);_(&quot;$&quot;* \(#,##0.00\);_(&quot;$&quot;* &quot;-&quot;??_);_(@_)">
                  <c:v>65.430000000000007</c:v>
                </c:pt>
                <c:pt idx="3" formatCode="_(&quot;$&quot;* #,##0.00_);_(&quot;$&quot;* \(#,##0.00\);_(&quot;$&quot;* &quot;-&quot;??_);_(@_)">
                  <c:v>65.430000000000007</c:v>
                </c:pt>
                <c:pt idx="4" formatCode="_(&quot;$&quot;* #,##0.00_);_(&quot;$&quot;* \(#,##0.00\);_(&quot;$&quot;* &quot;-&quot;??_);_(@_)">
                  <c:v>71.497127610000007</c:v>
                </c:pt>
                <c:pt idx="5" formatCode="_(&quot;$&quot;* #,##0.00_);_(&quot;$&quot;* \(#,##0.00\);_(&quot;$&quot;* &quot;-&quot;??_);_(@_)">
                  <c:v>71.497127610000007</c:v>
                </c:pt>
                <c:pt idx="6" formatCode="_(&quot;$&quot;* #,##0.00_);_(&quot;$&quot;* \(#,##0.00\);_(&quot;$&quot;* &quot;-&quot;??_);_(@_)">
                  <c:v>71.497127610000007</c:v>
                </c:pt>
                <c:pt idx="7">
                  <c:v>64.930000000000007</c:v>
                </c:pt>
                <c:pt idx="8" formatCode="_(&quot;$&quot;* #,##0.00_);_(&quot;$&quot;* \(#,##0.00\);_(&quot;$&quot;* &quot;-&quot;??_);_(@_)">
                  <c:v>64.930000000000007</c:v>
                </c:pt>
                <c:pt idx="9" formatCode="_(&quot;$&quot;* #,##0.00_);_(&quot;$&quot;* \(#,##0.00\);_(&quot;$&quot;* &quot;-&quot;??_);_(@_)">
                  <c:v>64.930000000000007</c:v>
                </c:pt>
                <c:pt idx="10" formatCode="_(&quot;$&quot;* #,##0.00_);_(&quot;$&quot;* \(#,##0.00\);_(&quot;$&quot;* &quot;-&quot;??_);_(@_)">
                  <c:v>70.950764110000009</c:v>
                </c:pt>
                <c:pt idx="11" formatCode="_(&quot;$&quot;* #,##0.00_);_(&quot;$&quot;* \(#,##0.00\);_(&quot;$&quot;* &quot;-&quot;??_);_(@_)">
                  <c:v>70.950764110000009</c:v>
                </c:pt>
                <c:pt idx="12" formatCode="_(&quot;$&quot;* #,##0.00_);_(&quot;$&quot;* \(#,##0.00\);_(&quot;$&quot;* &quot;-&quot;??_);_(@_)">
                  <c:v>70.950764110000009</c:v>
                </c:pt>
                <c:pt idx="13">
                  <c:v>73.150000000000006</c:v>
                </c:pt>
                <c:pt idx="14" formatCode="_(&quot;$&quot;* #,##0.00_);_(&quot;$&quot;* \(#,##0.00\);_(&quot;$&quot;* &quot;-&quot;??_);_(@_)">
                  <c:v>73.150000000000006</c:v>
                </c:pt>
                <c:pt idx="15" formatCode="_(&quot;$&quot;* #,##0.00_);_(&quot;$&quot;* \(#,##0.00\);_(&quot;$&quot;* &quot;-&quot;??_);_(@_)">
                  <c:v>73.150000000000006</c:v>
                </c:pt>
                <c:pt idx="16" formatCode="_(&quot;$&quot;* #,##0.00_);_(&quot;$&quot;* \(#,##0.00\);_(&quot;$&quot;* &quot;-&quot;??_);_(@_)">
                  <c:v>79.932980050000012</c:v>
                </c:pt>
                <c:pt idx="17" formatCode="_(&quot;$&quot;* #,##0.00_);_(&quot;$&quot;* \(#,##0.00\);_(&quot;$&quot;* &quot;-&quot;??_);_(@_)">
                  <c:v>79.932980050000012</c:v>
                </c:pt>
                <c:pt idx="18" formatCode="_(&quot;$&quot;* #,##0.00_);_(&quot;$&quot;* \(#,##0.00\);_(&quot;$&quot;* &quot;-&quot;??_);_(@_)">
                  <c:v>79.932980050000012</c:v>
                </c:pt>
                <c:pt idx="19">
                  <c:v>68.36</c:v>
                </c:pt>
                <c:pt idx="20" formatCode="_(&quot;$&quot;* #,##0.00_);_(&quot;$&quot;* \(#,##0.00\);_(&quot;$&quot;* &quot;-&quot;??_);_(@_)">
                  <c:v>68.36</c:v>
                </c:pt>
                <c:pt idx="21" formatCode="_(&quot;$&quot;* #,##0.00_);_(&quot;$&quot;* \(#,##0.00\);_(&quot;$&quot;* &quot;-&quot;??_);_(@_)">
                  <c:v>68.36</c:v>
                </c:pt>
                <c:pt idx="22" formatCode="_(&quot;$&quot;* #,##0.00_);_(&quot;$&quot;* \(#,##0.00\);_(&quot;$&quot;* &quot;-&quot;??_);_(@_)">
                  <c:v>74.698817719999994</c:v>
                </c:pt>
                <c:pt idx="23" formatCode="_(&quot;$&quot;* #,##0.00_);_(&quot;$&quot;* \(#,##0.00\);_(&quot;$&quot;* &quot;-&quot;??_);_(@_)">
                  <c:v>74.698817719999994</c:v>
                </c:pt>
                <c:pt idx="24" formatCode="_(&quot;$&quot;* #,##0.00_);_(&quot;$&quot;* \(#,##0.00\);_(&quot;$&quot;* &quot;-&quot;??_);_(@_)">
                  <c:v>74.698817719999994</c:v>
                </c:pt>
                <c:pt idx="25">
                  <c:v>78.86</c:v>
                </c:pt>
                <c:pt idx="26" formatCode="_(&quot;$&quot;* #,##0.00_);_(&quot;$&quot;* \(#,##0.00\);_(&quot;$&quot;* &quot;-&quot;??_);_(@_)">
                  <c:v>78.86</c:v>
                </c:pt>
                <c:pt idx="27" formatCode="_(&quot;$&quot;* #,##0.00_);_(&quot;$&quot;* \(#,##0.00\);_(&quot;$&quot;* &quot;-&quot;??_);_(@_)">
                  <c:v>78.86</c:v>
                </c:pt>
                <c:pt idx="28" formatCode="_(&quot;$&quot;* #,##0.00_);_(&quot;$&quot;* \(#,##0.00\);_(&quot;$&quot;* &quot;-&quot;??_);_(@_)">
                  <c:v>86.172451219999999</c:v>
                </c:pt>
                <c:pt idx="29" formatCode="_(&quot;$&quot;* #,##0.00_);_(&quot;$&quot;* \(#,##0.00\);_(&quot;$&quot;* &quot;-&quot;??_);_(@_)">
                  <c:v>86.172451219999999</c:v>
                </c:pt>
                <c:pt idx="30" formatCode="_(&quot;$&quot;* #,##0.00_);_(&quot;$&quot;* \(#,##0.00\);_(&quot;$&quot;* &quot;-&quot;??_);_(@_)">
                  <c:v>86.172451219999999</c:v>
                </c:pt>
                <c:pt idx="31">
                  <c:v>78.790000000000006</c:v>
                </c:pt>
                <c:pt idx="32" formatCode="_(&quot;$&quot;* #,##0.00_);_(&quot;$&quot;* \(#,##0.00\);_(&quot;$&quot;* &quot;-&quot;??_);_(@_)">
                  <c:v>78.790000000000006</c:v>
                </c:pt>
                <c:pt idx="33" formatCode="_(&quot;$&quot;* #,##0.00_);_(&quot;$&quot;* \(#,##0.00\);_(&quot;$&quot;* &quot;-&quot;??_);_(@_)">
                  <c:v>78.790000000000006</c:v>
                </c:pt>
                <c:pt idx="34" formatCode="_(&quot;$&quot;* #,##0.00_);_(&quot;$&quot;* \(#,##0.00\);_(&quot;$&quot;* &quot;-&quot;??_);_(@_)">
                  <c:v>86.095960330000011</c:v>
                </c:pt>
                <c:pt idx="35" formatCode="_(&quot;$&quot;* #,##0.00_);_(&quot;$&quot;* \(#,##0.00\);_(&quot;$&quot;* &quot;-&quot;??_);_(@_)">
                  <c:v>86.095960330000011</c:v>
                </c:pt>
                <c:pt idx="36" formatCode="_(&quot;$&quot;* #,##0.00_);_(&quot;$&quot;* \(#,##0.00\);_(&quot;$&quot;* &quot;-&quot;??_);_(@_)">
                  <c:v>86.095960330000011</c:v>
                </c:pt>
                <c:pt idx="37">
                  <c:v>91.7</c:v>
                </c:pt>
                <c:pt idx="38" formatCode="_(&quot;$&quot;* #,##0.00_);_(&quot;$&quot;* \(#,##0.00\);_(&quot;$&quot;* &quot;-&quot;??_);_(@_)">
                  <c:v>91.7</c:v>
                </c:pt>
                <c:pt idx="39" formatCode="_(&quot;$&quot;* #,##0.00_);_(&quot;$&quot;* \(#,##0.00\);_(&quot;$&quot;* &quot;-&quot;??_);_(@_)">
                  <c:v>91.7</c:v>
                </c:pt>
                <c:pt idx="40" formatCode="_(&quot;$&quot;* #,##0.00_);_(&quot;$&quot;* \(#,##0.00\);_(&quot;$&quot;* &quot;-&quot;??_);_(@_)">
                  <c:v>100.2030659</c:v>
                </c:pt>
                <c:pt idx="41" formatCode="_(&quot;$&quot;* #,##0.00_);_(&quot;$&quot;* \(#,##0.00\);_(&quot;$&quot;* &quot;-&quot;??_);_(@_)">
                  <c:v>100.2030659</c:v>
                </c:pt>
                <c:pt idx="42" formatCode="_(&quot;$&quot;* #,##0.00_);_(&quot;$&quot;* \(#,##0.00\);_(&quot;$&quot;* &quot;-&quot;??_);_(@_)">
                  <c:v>100.2030659</c:v>
                </c:pt>
                <c:pt idx="43">
                  <c:v>50.5</c:v>
                </c:pt>
              </c:numCache>
            </c:numRef>
          </c:val>
          <c:smooth val="0"/>
          <c:extLst>
            <c:ext xmlns:c16="http://schemas.microsoft.com/office/drawing/2014/chart" uri="{C3380CC4-5D6E-409C-BE32-E72D297353CC}">
              <c16:uniqueId val="{00000002-E9A4-43CA-B8EF-5AD3E49B6EEB}"/>
            </c:ext>
          </c:extLst>
        </c:ser>
        <c:dLbls>
          <c:showLegendKey val="0"/>
          <c:showVal val="0"/>
          <c:showCatName val="0"/>
          <c:showSerName val="0"/>
          <c:showPercent val="0"/>
          <c:showBubbleSize val="0"/>
        </c:dLbls>
        <c:marker val="1"/>
        <c:smooth val="0"/>
        <c:axId val="1291170192"/>
        <c:axId val="1291161872"/>
        <c:extLst>
          <c:ext xmlns:c15="http://schemas.microsoft.com/office/drawing/2012/chart" uri="{02D57815-91ED-43cb-92C2-25804820EDAC}">
            <c15:filteredLineSeries>
              <c15:ser>
                <c:idx val="2"/>
                <c:order val="2"/>
                <c:tx>
                  <c:strRef>
                    <c:extLst>
                      <c:ext uri="{02D57815-91ED-43cb-92C2-25804820EDAC}">
                        <c15:formulaRef>
                          <c15:sqref>Forecast_Landfill!#REF!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val>
                  <c:numRef>
                    <c:extLst>
                      <c:ext uri="{02D57815-91ED-43cb-92C2-25804820EDAC}">
                        <c15:formulaRef>
                          <c15:sqref>Forecast_Landfill!#REF!</c15:sqref>
                        </c15:formulaRef>
                      </c:ext>
                    </c:extLst>
                    <c:numCache>
                      <c:formatCode>General</c:formatCode>
                      <c:ptCount val="1"/>
                      <c:pt idx="0">
                        <c:v>1</c:v>
                      </c:pt>
                    </c:numCache>
                  </c:numRef>
                </c:val>
                <c:smooth val="0"/>
                <c:extLst>
                  <c:ext xmlns:c16="http://schemas.microsoft.com/office/drawing/2014/chart" uri="{C3380CC4-5D6E-409C-BE32-E72D297353CC}">
                    <c16:uniqueId val="{00000003-E9A4-43CA-B8EF-5AD3E49B6EEB}"/>
                  </c:ext>
                </c:extLst>
              </c15:ser>
            </c15:filteredLineSeries>
          </c:ext>
        </c:extLst>
      </c:lineChart>
      <c:dateAx>
        <c:axId val="79903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799025728"/>
        <c:crosses val="autoZero"/>
        <c:auto val="0"/>
        <c:lblOffset val="100"/>
        <c:baseTimeUnit val="days"/>
      </c:dateAx>
      <c:valAx>
        <c:axId val="7990257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Ending Balance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799031136"/>
        <c:crosses val="autoZero"/>
        <c:crossBetween val="between"/>
      </c:valAx>
      <c:valAx>
        <c:axId val="1291161872"/>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Tipping Fees per Ton</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1291170192"/>
        <c:crosses val="max"/>
        <c:crossBetween val="between"/>
      </c:valAx>
      <c:catAx>
        <c:axId val="1291170192"/>
        <c:scaling>
          <c:orientation val="minMax"/>
        </c:scaling>
        <c:delete val="1"/>
        <c:axPos val="b"/>
        <c:majorTickMark val="out"/>
        <c:minorTickMark val="none"/>
        <c:tickLblPos val="nextTo"/>
        <c:crossAx val="12911618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chemeClr val="bg1">
              <a:lumMod val="50000"/>
            </a:schemeClr>
          </a:solidFill>
          <a:latin typeface="Calibri Light" panose="020F0302020204030204"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Ending Balance vs Revenues and Expenses</a:t>
            </a:r>
          </a:p>
        </c:rich>
      </c:tx>
      <c:overlay val="0"/>
      <c:spPr>
        <a:noFill/>
        <a:ln>
          <a:noFill/>
        </a:ln>
        <a:effectLst/>
      </c:spPr>
      <c:txPr>
        <a:bodyPr rot="0" spcFirstLastPara="1" vertOverflow="ellipsis" vert="horz" wrap="square" anchor="ctr" anchorCtr="1"/>
        <a:lstStyle/>
        <a:p>
          <a:pPr>
            <a:defRPr lang="en-US" sz="1080" b="0" i="0" u="none" strike="noStrike" kern="1200" spc="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autoTitleDeleted val="0"/>
    <c:plotArea>
      <c:layout/>
      <c:lineChart>
        <c:grouping val="standard"/>
        <c:varyColors val="0"/>
        <c:ser>
          <c:idx val="2"/>
          <c:order val="2"/>
          <c:tx>
            <c:v>Ending Balance</c:v>
          </c:tx>
          <c:spPr>
            <a:ln w="28575" cap="rnd">
              <a:solidFill>
                <a:srgbClr val="002060"/>
              </a:solidFill>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Forecast_Summary!$D$42:$AU$42</c:f>
              <c:numCache>
                <c:formatCode>_("$"* #,##0.00_);_("$"* \(#,##0.00\);_("$"* "-"??_);_(@_)</c:formatCode>
                <c:ptCount val="44"/>
                <c:pt idx="0">
                  <c:v>6170571</c:v>
                </c:pt>
                <c:pt idx="1">
                  <c:v>541425.75261217263</c:v>
                </c:pt>
                <c:pt idx="2">
                  <c:v>1057293.5035090921</c:v>
                </c:pt>
                <c:pt idx="3">
                  <c:v>1207143.3359061396</c:v>
                </c:pt>
                <c:pt idx="4">
                  <c:v>1597882.1173693342</c:v>
                </c:pt>
                <c:pt idx="5">
                  <c:v>2010716.8464805642</c:v>
                </c:pt>
                <c:pt idx="6">
                  <c:v>2441242.0609799698</c:v>
                </c:pt>
                <c:pt idx="7">
                  <c:v>2326165.8185473951</c:v>
                </c:pt>
                <c:pt idx="8">
                  <c:v>2215984.5672967052</c:v>
                </c:pt>
                <c:pt idx="9">
                  <c:v>2116066.7397905858</c:v>
                </c:pt>
                <c:pt idx="10">
                  <c:v>2231045.9016284607</c:v>
                </c:pt>
                <c:pt idx="11">
                  <c:v>2215179.1360563887</c:v>
                </c:pt>
                <c:pt idx="12">
                  <c:v>2310229.7334957821</c:v>
                </c:pt>
                <c:pt idx="13">
                  <c:v>2377908.1715587275</c:v>
                </c:pt>
                <c:pt idx="14">
                  <c:v>2455111.155209844</c:v>
                </c:pt>
                <c:pt idx="15">
                  <c:v>2547284.8998184064</c:v>
                </c:pt>
                <c:pt idx="16">
                  <c:v>2954173.9951450163</c:v>
                </c:pt>
                <c:pt idx="17">
                  <c:v>3379577.3328103144</c:v>
                </c:pt>
                <c:pt idx="18">
                  <c:v>4148888.620506906</c:v>
                </c:pt>
                <c:pt idx="19">
                  <c:v>3706774.4502113918</c:v>
                </c:pt>
                <c:pt idx="20">
                  <c:v>3261924.5149691068</c:v>
                </c:pt>
                <c:pt idx="21">
                  <c:v>2814391.1650946317</c:v>
                </c:pt>
                <c:pt idx="22">
                  <c:v>2846294.8461685264</c:v>
                </c:pt>
                <c:pt idx="23">
                  <c:v>2888354.9334252896</c:v>
                </c:pt>
                <c:pt idx="24">
                  <c:v>2940961.0637805732</c:v>
                </c:pt>
                <c:pt idx="25">
                  <c:v>3091933.4027176229</c:v>
                </c:pt>
                <c:pt idx="26">
                  <c:v>3256784.6619905094</c:v>
                </c:pt>
                <c:pt idx="27">
                  <c:v>3435982.4922809443</c:v>
                </c:pt>
                <c:pt idx="28">
                  <c:v>4033113.8524066443</c:v>
                </c:pt>
                <c:pt idx="29">
                  <c:v>4651407.2550140908</c:v>
                </c:pt>
                <c:pt idx="30">
                  <c:v>5296785.9627021225</c:v>
                </c:pt>
                <c:pt idx="31">
                  <c:v>4650290.7474569147</c:v>
                </c:pt>
                <c:pt idx="32">
                  <c:v>4294718.4843270937</c:v>
                </c:pt>
                <c:pt idx="33">
                  <c:v>3936161.1801406657</c:v>
                </c:pt>
                <c:pt idx="34">
                  <c:v>3993997.3340634229</c:v>
                </c:pt>
                <c:pt idx="35">
                  <c:v>4060388.4440915613</c:v>
                </c:pt>
                <c:pt idx="36">
                  <c:v>4135830.7098304322</c:v>
                </c:pt>
                <c:pt idx="37">
                  <c:v>4390964.6216012584</c:v>
                </c:pt>
                <c:pt idx="38">
                  <c:v>4655714.6482318444</c:v>
                </c:pt>
                <c:pt idx="39">
                  <c:v>4935849.6909889458</c:v>
                </c:pt>
                <c:pt idx="40">
                  <c:v>5785910.8122911276</c:v>
                </c:pt>
                <c:pt idx="41">
                  <c:v>6667542.3683357397</c:v>
                </c:pt>
                <c:pt idx="42">
                  <c:v>8958818.07342894</c:v>
                </c:pt>
                <c:pt idx="43">
                  <c:v>3764689.3025597259</c:v>
                </c:pt>
              </c:numCache>
            </c:numRef>
          </c:val>
          <c:smooth val="0"/>
          <c:extLst>
            <c:ext xmlns:c16="http://schemas.microsoft.com/office/drawing/2014/chart" uri="{C3380CC4-5D6E-409C-BE32-E72D297353CC}">
              <c16:uniqueId val="{00000000-ED56-4239-A3D6-A7CC5C460532}"/>
            </c:ext>
          </c:extLst>
        </c:ser>
        <c:ser>
          <c:idx val="3"/>
          <c:order val="3"/>
          <c:tx>
            <c:v>Minimum Fund Balance</c:v>
          </c:tx>
          <c:spPr>
            <a:ln w="15875" cap="rnd">
              <a:solidFill>
                <a:schemeClr val="tx1">
                  <a:lumMod val="50000"/>
                  <a:lumOff val="50000"/>
                </a:schemeClr>
              </a:solidFill>
              <a:prstDash val="dash"/>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Forecast_Summary!$D$44:$AU$44</c:f>
              <c:numCache>
                <c:formatCode>"$"#,##0.00</c:formatCode>
                <c:ptCount val="44"/>
                <c:pt idx="2">
                  <c:v>965095.65487341606</c:v>
                </c:pt>
                <c:pt idx="3">
                  <c:v>788599.90474725352</c:v>
                </c:pt>
                <c:pt idx="4">
                  <c:v>792864.99217573018</c:v>
                </c:pt>
                <c:pt idx="5">
                  <c:v>803540.07561855786</c:v>
                </c:pt>
                <c:pt idx="6">
                  <c:v>1422150.7961607494</c:v>
                </c:pt>
                <c:pt idx="7">
                  <c:v>1448284.734246636</c:v>
                </c:pt>
                <c:pt idx="8">
                  <c:v>1468619.955755871</c:v>
                </c:pt>
                <c:pt idx="9">
                  <c:v>1345808.2293149673</c:v>
                </c:pt>
                <c:pt idx="10">
                  <c:v>1547220.1832374057</c:v>
                </c:pt>
                <c:pt idx="11">
                  <c:v>1447497.0274591877</c:v>
                </c:pt>
                <c:pt idx="12">
                  <c:v>1572494.8981473653</c:v>
                </c:pt>
                <c:pt idx="13">
                  <c:v>1603041.7977253248</c:v>
                </c:pt>
                <c:pt idx="14">
                  <c:v>1627979.0559390981</c:v>
                </c:pt>
                <c:pt idx="15">
                  <c:v>1426360.3675092405</c:v>
                </c:pt>
                <c:pt idx="16">
                  <c:v>1453131.7132753481</c:v>
                </c:pt>
                <c:pt idx="17">
                  <c:v>1074585.8300238189</c:v>
                </c:pt>
                <c:pt idx="18">
                  <c:v>2407478.1722348426</c:v>
                </c:pt>
                <c:pt idx="19">
                  <c:v>2459168.0100906612</c:v>
                </c:pt>
                <c:pt idx="20">
                  <c:v>2512185.1199293463</c:v>
                </c:pt>
                <c:pt idx="21">
                  <c:v>2064112.7124441585</c:v>
                </c:pt>
                <c:pt idx="22">
                  <c:v>2106564.3672552705</c:v>
                </c:pt>
                <c:pt idx="23">
                  <c:v>2150087.548332762</c:v>
                </c:pt>
                <c:pt idx="24">
                  <c:v>2202837.281311933</c:v>
                </c:pt>
                <c:pt idx="25">
                  <c:v>2248585.1936500892</c:v>
                </c:pt>
                <c:pt idx="26">
                  <c:v>2295547.6132666003</c:v>
                </c:pt>
                <c:pt idx="27">
                  <c:v>2053241.1458812172</c:v>
                </c:pt>
                <c:pt idx="28">
                  <c:v>2101094.8409498911</c:v>
                </c:pt>
                <c:pt idx="29">
                  <c:v>2143678.8289060332</c:v>
                </c:pt>
                <c:pt idx="30">
                  <c:v>3639981.2616052292</c:v>
                </c:pt>
                <c:pt idx="31">
                  <c:v>3281921.5052448288</c:v>
                </c:pt>
                <c:pt idx="32">
                  <c:v>3361687.5918001421</c:v>
                </c:pt>
                <c:pt idx="33">
                  <c:v>3165443.9745624028</c:v>
                </c:pt>
                <c:pt idx="34">
                  <c:v>3241787.9861526396</c:v>
                </c:pt>
                <c:pt idx="35">
                  <c:v>3320057.6807225812</c:v>
                </c:pt>
                <c:pt idx="36">
                  <c:v>3397144.3031465076</c:v>
                </c:pt>
                <c:pt idx="37">
                  <c:v>3485611.2409920935</c:v>
                </c:pt>
                <c:pt idx="38">
                  <c:v>3569770.5823564529</c:v>
                </c:pt>
                <c:pt idx="39">
                  <c:v>3299823.3237120602</c:v>
                </c:pt>
                <c:pt idx="40">
                  <c:v>3376413.0464735869</c:v>
                </c:pt>
                <c:pt idx="41">
                  <c:v>1476850.8663205898</c:v>
                </c:pt>
                <c:pt idx="42">
                  <c:v>8957364.9386408012</c:v>
                </c:pt>
                <c:pt idx="43">
                  <c:v>3000000</c:v>
                </c:pt>
              </c:numCache>
            </c:numRef>
          </c:val>
          <c:smooth val="0"/>
          <c:extLst>
            <c:ext xmlns:c16="http://schemas.microsoft.com/office/drawing/2014/chart" uri="{C3380CC4-5D6E-409C-BE32-E72D297353CC}">
              <c16:uniqueId val="{00000001-ED56-4239-A3D6-A7CC5C460532}"/>
            </c:ext>
          </c:extLst>
        </c:ser>
        <c:dLbls>
          <c:showLegendKey val="0"/>
          <c:showVal val="0"/>
          <c:showCatName val="0"/>
          <c:showSerName val="0"/>
          <c:showPercent val="0"/>
          <c:showBubbleSize val="0"/>
        </c:dLbls>
        <c:marker val="1"/>
        <c:smooth val="0"/>
        <c:axId val="799031136"/>
        <c:axId val="799025728"/>
      </c:lineChart>
      <c:lineChart>
        <c:grouping val="standard"/>
        <c:varyColors val="0"/>
        <c:ser>
          <c:idx val="0"/>
          <c:order val="0"/>
          <c:tx>
            <c:v>Revenues</c:v>
          </c:tx>
          <c:spPr>
            <a:ln w="28575" cap="rnd">
              <a:solidFill>
                <a:srgbClr val="92D050"/>
              </a:solidFill>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Forecast_Summary!$D$5:$AU$5</c:f>
              <c:numCache>
                <c:formatCode>_("$"* #,##0.00_);_("$"* \(#,##0.00\);_("$"* "-"??_);_(@_)</c:formatCode>
                <c:ptCount val="44"/>
                <c:pt idx="0">
                  <c:v>18115000</c:v>
                </c:pt>
                <c:pt idx="1">
                  <c:v>2088782.2212199811</c:v>
                </c:pt>
                <c:pt idx="2">
                  <c:v>21654400.294191744</c:v>
                </c:pt>
                <c:pt idx="3">
                  <c:v>4609631.7414789032</c:v>
                </c:pt>
                <c:pt idx="4">
                  <c:v>5108093.4863049891</c:v>
                </c:pt>
                <c:pt idx="5">
                  <c:v>5235633.5742590725</c:v>
                </c:pt>
                <c:pt idx="6">
                  <c:v>5366786.3349712593</c:v>
                </c:pt>
                <c:pt idx="7">
                  <c:v>5113221.9324801257</c:v>
                </c:pt>
                <c:pt idx="8">
                  <c:v>5242232.640733093</c:v>
                </c:pt>
                <c:pt idx="9">
                  <c:v>5374890.6454928862</c:v>
                </c:pt>
                <c:pt idx="10">
                  <c:v>5958128.6864492455</c:v>
                </c:pt>
                <c:pt idx="11">
                  <c:v>6109546.8650892628</c:v>
                </c:pt>
                <c:pt idx="12">
                  <c:v>6265241.0570337176</c:v>
                </c:pt>
                <c:pt idx="13">
                  <c:v>6628371.7429041881</c:v>
                </c:pt>
                <c:pt idx="14">
                  <c:v>6798182.0691568824</c:v>
                </c:pt>
                <c:pt idx="15">
                  <c:v>6972784.9067992019</c:v>
                </c:pt>
                <c:pt idx="16">
                  <c:v>7739886.9066700134</c:v>
                </c:pt>
                <c:pt idx="17">
                  <c:v>7939543.5014278786</c:v>
                </c:pt>
                <c:pt idx="18">
                  <c:v>8144899.7185782334</c:v>
                </c:pt>
                <c:pt idx="19">
                  <c:v>7419341.7974617984</c:v>
                </c:pt>
                <c:pt idx="20">
                  <c:v>7612422.3241512189</c:v>
                </c:pt>
                <c:pt idx="21">
                  <c:v>7811073.6903450144</c:v>
                </c:pt>
                <c:pt idx="22">
                  <c:v>8415969.2151461057</c:v>
                </c:pt>
                <c:pt idx="23">
                  <c:v>8636557.8653048966</c:v>
                </c:pt>
                <c:pt idx="24">
                  <c:v>8863380.8051074669</c:v>
                </c:pt>
                <c:pt idx="25">
                  <c:v>9566210.7799329851</c:v>
                </c:pt>
                <c:pt idx="26">
                  <c:v>9818597.030964788</c:v>
                </c:pt>
                <c:pt idx="27">
                  <c:v>10078179.564518576</c:v>
                </c:pt>
                <c:pt idx="28">
                  <c:v>11198621.344153369</c:v>
                </c:pt>
                <c:pt idx="29">
                  <c:v>11495846.3368368</c:v>
                </c:pt>
                <c:pt idx="30">
                  <c:v>11801608.814064296</c:v>
                </c:pt>
                <c:pt idx="31">
                  <c:v>11327448.930194883</c:v>
                </c:pt>
                <c:pt idx="32">
                  <c:v>11349824.665330211</c:v>
                </c:pt>
                <c:pt idx="33">
                  <c:v>11653963.806268428</c:v>
                </c:pt>
                <c:pt idx="34">
                  <c:v>12950956.6278634</c:v>
                </c:pt>
                <c:pt idx="35">
                  <c:v>13299107.454751253</c:v>
                </c:pt>
                <c:pt idx="36">
                  <c:v>13657442.011584681</c:v>
                </c:pt>
                <c:pt idx="37">
                  <c:v>14864246.731440166</c:v>
                </c:pt>
                <c:pt idx="38">
                  <c:v>15266195.05712131</c:v>
                </c:pt>
                <c:pt idx="39">
                  <c:v>15679757.503211325</c:v>
                </c:pt>
                <c:pt idx="40">
                  <c:v>17449598.861359145</c:v>
                </c:pt>
                <c:pt idx="41">
                  <c:v>17913809.926117405</c:v>
                </c:pt>
                <c:pt idx="42">
                  <c:v>17363781.950748369</c:v>
                </c:pt>
                <c:pt idx="43">
                  <c:v>9858815.8602171391</c:v>
                </c:pt>
              </c:numCache>
            </c:numRef>
          </c:val>
          <c:smooth val="0"/>
          <c:extLst>
            <c:ext xmlns:c16="http://schemas.microsoft.com/office/drawing/2014/chart" uri="{C3380CC4-5D6E-409C-BE32-E72D297353CC}">
              <c16:uniqueId val="{00000002-ED56-4239-A3D6-A7CC5C460532}"/>
            </c:ext>
          </c:extLst>
        </c:ser>
        <c:ser>
          <c:idx val="1"/>
          <c:order val="1"/>
          <c:tx>
            <c:v>Expenses</c:v>
          </c:tx>
          <c:spPr>
            <a:ln w="28575" cap="rnd">
              <a:solidFill>
                <a:schemeClr val="accent2"/>
              </a:solidFill>
              <a:round/>
            </a:ln>
            <a:effectLst/>
          </c:spPr>
          <c:marker>
            <c:symbol val="none"/>
          </c:marker>
          <c:cat>
            <c:numRef>
              <c:f>Forecast_Landfill!$D$2:$AU$2</c:f>
              <c:numCache>
                <c:formatCode>General</c:formatCode>
                <c:ptCount val="44"/>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pt idx="28">
                  <c:v>2051</c:v>
                </c:pt>
                <c:pt idx="29">
                  <c:v>2052</c:v>
                </c:pt>
                <c:pt idx="30">
                  <c:v>2053</c:v>
                </c:pt>
                <c:pt idx="31">
                  <c:v>2054</c:v>
                </c:pt>
                <c:pt idx="32">
                  <c:v>2055</c:v>
                </c:pt>
                <c:pt idx="33">
                  <c:v>2056</c:v>
                </c:pt>
                <c:pt idx="34">
                  <c:v>2057</c:v>
                </c:pt>
                <c:pt idx="35">
                  <c:v>2058</c:v>
                </c:pt>
                <c:pt idx="36">
                  <c:v>2059</c:v>
                </c:pt>
                <c:pt idx="37">
                  <c:v>2060</c:v>
                </c:pt>
                <c:pt idx="38">
                  <c:v>2061</c:v>
                </c:pt>
                <c:pt idx="39">
                  <c:v>2062</c:v>
                </c:pt>
                <c:pt idx="40">
                  <c:v>2063</c:v>
                </c:pt>
                <c:pt idx="41">
                  <c:v>2064</c:v>
                </c:pt>
                <c:pt idx="42">
                  <c:v>2065</c:v>
                </c:pt>
                <c:pt idx="43">
                  <c:v>2066</c:v>
                </c:pt>
              </c:numCache>
            </c:numRef>
          </c:cat>
          <c:val>
            <c:numRef>
              <c:f>Forecast_Summary!$D$16:$AU$16</c:f>
              <c:numCache>
                <c:formatCode>_("$"* #,##0.00_);_("$"* \(#,##0.00\);_("$"* "-"??_);_(@_)</c:formatCode>
                <c:ptCount val="44"/>
                <c:pt idx="0">
                  <c:v>11944429</c:v>
                </c:pt>
                <c:pt idx="1">
                  <c:v>7717927.4686078085</c:v>
                </c:pt>
                <c:pt idx="2">
                  <c:v>21138532.543294825</c:v>
                </c:pt>
                <c:pt idx="3">
                  <c:v>4459781.9090818558</c:v>
                </c:pt>
                <c:pt idx="4">
                  <c:v>4717354.7048417944</c:v>
                </c:pt>
                <c:pt idx="5">
                  <c:v>4822798.8451478425</c:v>
                </c:pt>
                <c:pt idx="6">
                  <c:v>4936261.1204718538</c:v>
                </c:pt>
                <c:pt idx="7">
                  <c:v>5228298.1749127004</c:v>
                </c:pt>
                <c:pt idx="8">
                  <c:v>5352413.8919837829</c:v>
                </c:pt>
                <c:pt idx="9">
                  <c:v>5474808.4729990056</c:v>
                </c:pt>
                <c:pt idx="10">
                  <c:v>5843149.5246113706</c:v>
                </c:pt>
                <c:pt idx="11">
                  <c:v>6125413.6306613348</c:v>
                </c:pt>
                <c:pt idx="12">
                  <c:v>6170190.4595943242</c:v>
                </c:pt>
                <c:pt idx="13">
                  <c:v>6560693.3048412427</c:v>
                </c:pt>
                <c:pt idx="14">
                  <c:v>6720979.0855057659</c:v>
                </c:pt>
                <c:pt idx="15">
                  <c:v>6880611.1621906394</c:v>
                </c:pt>
                <c:pt idx="16">
                  <c:v>7332997.8113434035</c:v>
                </c:pt>
                <c:pt idx="17">
                  <c:v>7514140.1637625806</c:v>
                </c:pt>
                <c:pt idx="18">
                  <c:v>7375588.4308816418</c:v>
                </c:pt>
                <c:pt idx="19">
                  <c:v>7861455.9677573126</c:v>
                </c:pt>
                <c:pt idx="20">
                  <c:v>8057272.2593935039</c:v>
                </c:pt>
                <c:pt idx="21">
                  <c:v>8258607.0402194895</c:v>
                </c:pt>
                <c:pt idx="22">
                  <c:v>8384065.534072211</c:v>
                </c:pt>
                <c:pt idx="23">
                  <c:v>8594497.7780481335</c:v>
                </c:pt>
                <c:pt idx="24">
                  <c:v>8810774.6747521833</c:v>
                </c:pt>
                <c:pt idx="25">
                  <c:v>9415238.4409959354</c:v>
                </c:pt>
                <c:pt idx="26">
                  <c:v>9653745.7716919016</c:v>
                </c:pt>
                <c:pt idx="27">
                  <c:v>9898981.7342281416</c:v>
                </c:pt>
                <c:pt idx="28">
                  <c:v>10601489.984027669</c:v>
                </c:pt>
                <c:pt idx="29">
                  <c:v>10877552.934229353</c:v>
                </c:pt>
                <c:pt idx="30">
                  <c:v>11156230.106376264</c:v>
                </c:pt>
                <c:pt idx="31">
                  <c:v>11973944.14544009</c:v>
                </c:pt>
                <c:pt idx="32">
                  <c:v>11705396.928460032</c:v>
                </c:pt>
                <c:pt idx="33">
                  <c:v>12012521.110454855</c:v>
                </c:pt>
                <c:pt idx="34">
                  <c:v>12893120.473940643</c:v>
                </c:pt>
                <c:pt idx="35">
                  <c:v>13232716.344723115</c:v>
                </c:pt>
                <c:pt idx="36">
                  <c:v>13581999.74584581</c:v>
                </c:pt>
                <c:pt idx="37">
                  <c:v>14609112.81966934</c:v>
                </c:pt>
                <c:pt idx="38">
                  <c:v>15001445.030490724</c:v>
                </c:pt>
                <c:pt idx="39">
                  <c:v>15399622.460454224</c:v>
                </c:pt>
                <c:pt idx="40">
                  <c:v>16599537.740056964</c:v>
                </c:pt>
                <c:pt idx="41">
                  <c:v>17032178.370072793</c:v>
                </c:pt>
                <c:pt idx="42">
                  <c:v>15072506.245655168</c:v>
                </c:pt>
                <c:pt idx="43">
                  <c:v>15052944.631086353</c:v>
                </c:pt>
              </c:numCache>
            </c:numRef>
          </c:val>
          <c:smooth val="0"/>
          <c:extLst>
            <c:ext xmlns:c16="http://schemas.microsoft.com/office/drawing/2014/chart" uri="{C3380CC4-5D6E-409C-BE32-E72D297353CC}">
              <c16:uniqueId val="{00000003-ED56-4239-A3D6-A7CC5C460532}"/>
            </c:ext>
          </c:extLst>
        </c:ser>
        <c:dLbls>
          <c:showLegendKey val="0"/>
          <c:showVal val="0"/>
          <c:showCatName val="0"/>
          <c:showSerName val="0"/>
          <c:showPercent val="0"/>
          <c:showBubbleSize val="0"/>
        </c:dLbls>
        <c:marker val="1"/>
        <c:smooth val="0"/>
        <c:axId val="275203104"/>
        <c:axId val="275193536"/>
      </c:lineChart>
      <c:catAx>
        <c:axId val="79903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799025728"/>
        <c:crosses val="autoZero"/>
        <c:auto val="1"/>
        <c:lblAlgn val="ctr"/>
        <c:lblOffset val="100"/>
        <c:noMultiLvlLbl val="0"/>
      </c:catAx>
      <c:valAx>
        <c:axId val="7990257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Beginning Balance</a:t>
                </a:r>
              </a:p>
            </c:rich>
          </c:tx>
          <c:overlay val="0"/>
          <c:spPr>
            <a:noFill/>
            <a:ln>
              <a:noFill/>
            </a:ln>
            <a:effectLst/>
          </c:spPr>
          <c:txPr>
            <a:bodyPr rot="-54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799031136"/>
        <c:crosses val="autoZero"/>
        <c:crossBetween val="between"/>
      </c:valAx>
      <c:valAx>
        <c:axId val="275193536"/>
        <c:scaling>
          <c:orientation val="minMax"/>
        </c:scaling>
        <c:delete val="0"/>
        <c:axPos val="r"/>
        <c:title>
          <c:tx>
            <c:rich>
              <a:bodyPr rot="-54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r>
                  <a:rPr lang="en-US"/>
                  <a:t>Revenues &amp; Expenses</a:t>
                </a:r>
              </a:p>
            </c:rich>
          </c:tx>
          <c:overlay val="0"/>
          <c:spPr>
            <a:noFill/>
            <a:ln>
              <a:noFill/>
            </a:ln>
            <a:effectLst/>
          </c:spPr>
          <c:txPr>
            <a:bodyPr rot="-54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crossAx val="275203104"/>
        <c:crosses val="max"/>
        <c:crossBetween val="between"/>
      </c:valAx>
      <c:catAx>
        <c:axId val="275203104"/>
        <c:scaling>
          <c:orientation val="minMax"/>
        </c:scaling>
        <c:delete val="1"/>
        <c:axPos val="b"/>
        <c:numFmt formatCode="General" sourceLinked="1"/>
        <c:majorTickMark val="out"/>
        <c:minorTickMark val="none"/>
        <c:tickLblPos val="nextTo"/>
        <c:crossAx val="2751935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900" b="0" i="0" u="none" strike="noStrike" kern="1200" baseline="0">
          <a:solidFill>
            <a:schemeClr val="bg1">
              <a:lumMod val="50000"/>
            </a:schemeClr>
          </a:solidFill>
          <a:latin typeface="Calibri Light" panose="020F0302020204030204" pitchFamily="34" charset="0"/>
          <a:ea typeface="+mn-ea"/>
          <a:cs typeface="Calibri Light" panose="020F0302020204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400050</xdr:colOff>
      <xdr:row>7</xdr:row>
      <xdr:rowOff>85725</xdr:rowOff>
    </xdr:from>
    <xdr:to>
      <xdr:col>18</xdr:col>
      <xdr:colOff>95250</xdr:colOff>
      <xdr:row>24</xdr:row>
      <xdr:rowOff>76200</xdr:rowOff>
    </xdr:to>
    <xdr:graphicFrame macro="">
      <xdr:nvGraphicFramePr>
        <xdr:cNvPr id="4" name="Chart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114300</xdr:colOff>
      <xdr:row>0</xdr:row>
      <xdr:rowOff>0</xdr:rowOff>
    </xdr:from>
    <xdr:to>
      <xdr:col>9</xdr:col>
      <xdr:colOff>719212</xdr:colOff>
      <xdr:row>1</xdr:row>
      <xdr:rowOff>262047</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19650" y="0"/>
          <a:ext cx="1319287" cy="5573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90413</xdr:colOff>
      <xdr:row>0</xdr:row>
      <xdr:rowOff>104776</xdr:rowOff>
    </xdr:from>
    <xdr:to>
      <xdr:col>9</xdr:col>
      <xdr:colOff>695325</xdr:colOff>
      <xdr:row>1</xdr:row>
      <xdr:rowOff>147748</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81488" y="104776"/>
          <a:ext cx="1319287" cy="5573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85725</xdr:colOff>
      <xdr:row>0</xdr:row>
      <xdr:rowOff>76200</xdr:rowOff>
    </xdr:from>
    <xdr:to>
      <xdr:col>9</xdr:col>
      <xdr:colOff>690637</xdr:colOff>
      <xdr:row>1</xdr:row>
      <xdr:rowOff>119172</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76800" y="76200"/>
          <a:ext cx="1319287" cy="5573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57150</xdr:colOff>
      <xdr:row>0</xdr:row>
      <xdr:rowOff>47625</xdr:rowOff>
    </xdr:from>
    <xdr:to>
      <xdr:col>9</xdr:col>
      <xdr:colOff>662062</xdr:colOff>
      <xdr:row>1</xdr:row>
      <xdr:rowOff>90597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48225" y="47625"/>
          <a:ext cx="1319287" cy="5573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9</xdr:col>
      <xdr:colOff>604912</xdr:colOff>
      <xdr:row>1</xdr:row>
      <xdr:rowOff>42972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91075" y="0"/>
          <a:ext cx="1319287" cy="5573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57150</xdr:colOff>
      <xdr:row>0</xdr:row>
      <xdr:rowOff>57150</xdr:rowOff>
    </xdr:from>
    <xdr:to>
      <xdr:col>9</xdr:col>
      <xdr:colOff>662062</xdr:colOff>
      <xdr:row>1</xdr:row>
      <xdr:rowOff>100122</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48225" y="57150"/>
          <a:ext cx="1319287" cy="55732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15</xdr:row>
      <xdr:rowOff>19050</xdr:rowOff>
    </xdr:from>
    <xdr:to>
      <xdr:col>11</xdr:col>
      <xdr:colOff>28575</xdr:colOff>
      <xdr:row>36</xdr:row>
      <xdr:rowOff>3786</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2609850"/>
          <a:ext cx="7772400" cy="33851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1200150</xdr:colOff>
      <xdr:row>1</xdr:row>
      <xdr:rowOff>38100</xdr:rowOff>
    </xdr:from>
    <xdr:to>
      <xdr:col>7</xdr:col>
      <xdr:colOff>0</xdr:colOff>
      <xdr:row>3</xdr:row>
      <xdr:rowOff>219075</xdr:rowOff>
    </xdr:to>
    <xdr:pic>
      <xdr:nvPicPr>
        <xdr:cNvPr id="2" name="Picture 7" descr="Logo, company name&#10;&#10;Description automatically generated">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9675" y="209550"/>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60</xdr:row>
      <xdr:rowOff>123824</xdr:rowOff>
    </xdr:from>
    <xdr:to>
      <xdr:col>2</xdr:col>
      <xdr:colOff>5438775</xdr:colOff>
      <xdr:row>79</xdr:row>
      <xdr:rowOff>9525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79</xdr:row>
      <xdr:rowOff>101412</xdr:rowOff>
    </xdr:from>
    <xdr:to>
      <xdr:col>2</xdr:col>
      <xdr:colOff>5438775</xdr:colOff>
      <xdr:row>97</xdr:row>
      <xdr:rowOff>152399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361950</xdr:colOff>
      <xdr:row>0</xdr:row>
      <xdr:rowOff>38100</xdr:rowOff>
    </xdr:from>
    <xdr:to>
      <xdr:col>7</xdr:col>
      <xdr:colOff>1733709</xdr:colOff>
      <xdr:row>5</xdr:row>
      <xdr:rowOff>70177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6010275" y="38100"/>
          <a:ext cx="1828959" cy="9750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838200</xdr:colOff>
          <xdr:row>6</xdr:row>
          <xdr:rowOff>146050</xdr:rowOff>
        </xdr:from>
        <xdr:to>
          <xdr:col>7</xdr:col>
          <xdr:colOff>1479550</xdr:colOff>
          <xdr:row>6</xdr:row>
          <xdr:rowOff>438150</xdr:rowOff>
        </xdr:to>
        <xdr:sp macro="" textlink="">
          <xdr:nvSpPr>
            <xdr:cNvPr id="61445" name="Button 5" hidden="1">
              <a:extLst>
                <a:ext uri="{63B3BB69-23CF-44E3-9099-C40C66FF867C}">
                  <a14:compatExt spid="_x0000_s61445"/>
                </a:ext>
                <a:ext uri="{FF2B5EF4-FFF2-40B4-BE49-F238E27FC236}">
                  <a16:creationId xmlns:a16="http://schemas.microsoft.com/office/drawing/2014/main" id="{00000000-0008-0000-0500-000005F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1600200</xdr:colOff>
          <xdr:row>6</xdr:row>
          <xdr:rowOff>152400</xdr:rowOff>
        </xdr:from>
        <xdr:to>
          <xdr:col>7</xdr:col>
          <xdr:colOff>2241550</xdr:colOff>
          <xdr:row>6</xdr:row>
          <xdr:rowOff>457200</xdr:rowOff>
        </xdr:to>
        <xdr:sp macro="" textlink="">
          <xdr:nvSpPr>
            <xdr:cNvPr id="61446" name="Button 6" hidden="1">
              <a:extLst>
                <a:ext uri="{63B3BB69-23CF-44E3-9099-C40C66FF867C}">
                  <a14:compatExt spid="_x0000_s61446"/>
                </a:ext>
                <a:ext uri="{FF2B5EF4-FFF2-40B4-BE49-F238E27FC236}">
                  <a16:creationId xmlns:a16="http://schemas.microsoft.com/office/drawing/2014/main" id="{00000000-0008-0000-0500-000006F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6</xdr:row>
          <xdr:rowOff>152400</xdr:rowOff>
        </xdr:from>
        <xdr:to>
          <xdr:col>7</xdr:col>
          <xdr:colOff>679450</xdr:colOff>
          <xdr:row>6</xdr:row>
          <xdr:rowOff>469900</xdr:rowOff>
        </xdr:to>
        <xdr:sp macro="" textlink="">
          <xdr:nvSpPr>
            <xdr:cNvPr id="61448" name="Button 8" hidden="1">
              <a:extLst>
                <a:ext uri="{63B3BB69-23CF-44E3-9099-C40C66FF867C}">
                  <a14:compatExt spid="_x0000_s61448"/>
                </a:ext>
                <a:ext uri="{FF2B5EF4-FFF2-40B4-BE49-F238E27FC236}">
                  <a16:creationId xmlns:a16="http://schemas.microsoft.com/office/drawing/2014/main" id="{00000000-0008-0000-0500-000008F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Set Rates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762000</xdr:colOff>
      <xdr:row>1</xdr:row>
      <xdr:rowOff>66675</xdr:rowOff>
    </xdr:from>
    <xdr:to>
      <xdr:col>7</xdr:col>
      <xdr:colOff>449739</xdr:colOff>
      <xdr:row>6</xdr:row>
      <xdr:rowOff>146377</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895850" y="266700"/>
          <a:ext cx="1821339" cy="10131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393700</xdr:colOff>
          <xdr:row>11</xdr:row>
          <xdr:rowOff>190500</xdr:rowOff>
        </xdr:from>
        <xdr:to>
          <xdr:col>5</xdr:col>
          <xdr:colOff>1276350</xdr:colOff>
          <xdr:row>13</xdr:row>
          <xdr:rowOff>57150</xdr:rowOff>
        </xdr:to>
        <xdr:sp macro="" textlink="">
          <xdr:nvSpPr>
            <xdr:cNvPr id="67586" name="Button 2" hidden="1">
              <a:extLst>
                <a:ext uri="{63B3BB69-23CF-44E3-9099-C40C66FF867C}">
                  <a14:compatExt spid="_x0000_s67586"/>
                </a:ext>
                <a:ext uri="{FF2B5EF4-FFF2-40B4-BE49-F238E27FC236}">
                  <a16:creationId xmlns:a16="http://schemas.microsoft.com/office/drawing/2014/main" id="{00000000-0008-0000-0600-0000020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Set Rate</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361950</xdr:colOff>
      <xdr:row>0</xdr:row>
      <xdr:rowOff>38100</xdr:rowOff>
    </xdr:from>
    <xdr:to>
      <xdr:col>7</xdr:col>
      <xdr:colOff>1733709</xdr:colOff>
      <xdr:row>5</xdr:row>
      <xdr:rowOff>70177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010275" y="38100"/>
          <a:ext cx="1828959" cy="9750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838200</xdr:colOff>
          <xdr:row>6</xdr:row>
          <xdr:rowOff>146050</xdr:rowOff>
        </xdr:from>
        <xdr:to>
          <xdr:col>7</xdr:col>
          <xdr:colOff>1479550</xdr:colOff>
          <xdr:row>6</xdr:row>
          <xdr:rowOff>438150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0900-000001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1600200</xdr:colOff>
          <xdr:row>6</xdr:row>
          <xdr:rowOff>152400</xdr:rowOff>
        </xdr:from>
        <xdr:to>
          <xdr:col>7</xdr:col>
          <xdr:colOff>2114550</xdr:colOff>
          <xdr:row>6</xdr:row>
          <xdr:rowOff>457200</xdr:rowOff>
        </xdr:to>
        <xdr:sp macro="" textlink="">
          <xdr:nvSpPr>
            <xdr:cNvPr id="110594" name="Button 2" hidden="1">
              <a:extLst>
                <a:ext uri="{63B3BB69-23CF-44E3-9099-C40C66FF867C}">
                  <a14:compatExt spid="_x0000_s110594"/>
                </a:ext>
                <a:ext uri="{FF2B5EF4-FFF2-40B4-BE49-F238E27FC236}">
                  <a16:creationId xmlns:a16="http://schemas.microsoft.com/office/drawing/2014/main" id="{00000000-0008-0000-0900-000002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6</xdr:row>
          <xdr:rowOff>152400</xdr:rowOff>
        </xdr:from>
        <xdr:to>
          <xdr:col>7</xdr:col>
          <xdr:colOff>679450</xdr:colOff>
          <xdr:row>6</xdr:row>
          <xdr:rowOff>469900</xdr:rowOff>
        </xdr:to>
        <xdr:sp macro="" textlink="">
          <xdr:nvSpPr>
            <xdr:cNvPr id="110595" name="Button 3" hidden="1">
              <a:extLst>
                <a:ext uri="{63B3BB69-23CF-44E3-9099-C40C66FF867C}">
                  <a14:compatExt spid="_x0000_s110595"/>
                </a:ext>
                <a:ext uri="{FF2B5EF4-FFF2-40B4-BE49-F238E27FC236}">
                  <a16:creationId xmlns:a16="http://schemas.microsoft.com/office/drawing/2014/main" id="{00000000-0008-0000-0900-000003B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Set Rates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6</xdr:col>
      <xdr:colOff>361950</xdr:colOff>
      <xdr:row>0</xdr:row>
      <xdr:rowOff>38100</xdr:rowOff>
    </xdr:from>
    <xdr:to>
      <xdr:col>7</xdr:col>
      <xdr:colOff>1733709</xdr:colOff>
      <xdr:row>5</xdr:row>
      <xdr:rowOff>70177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6010275" y="38100"/>
          <a:ext cx="1828959" cy="9750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838200</xdr:colOff>
          <xdr:row>6</xdr:row>
          <xdr:rowOff>146050</xdr:rowOff>
        </xdr:from>
        <xdr:to>
          <xdr:col>7</xdr:col>
          <xdr:colOff>1479550</xdr:colOff>
          <xdr:row>6</xdr:row>
          <xdr:rowOff>438150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0A00-000001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1619250</xdr:colOff>
          <xdr:row>6</xdr:row>
          <xdr:rowOff>165100</xdr:rowOff>
        </xdr:from>
        <xdr:to>
          <xdr:col>7</xdr:col>
          <xdr:colOff>2146300</xdr:colOff>
          <xdr:row>7</xdr:row>
          <xdr:rowOff>0</xdr:rowOff>
        </xdr:to>
        <xdr:sp macro="" textlink="">
          <xdr:nvSpPr>
            <xdr:cNvPr id="111618" name="Button 2" hidden="1">
              <a:extLst>
                <a:ext uri="{63B3BB69-23CF-44E3-9099-C40C66FF867C}">
                  <a14:compatExt spid="_x0000_s111618"/>
                </a:ext>
                <a:ext uri="{FF2B5EF4-FFF2-40B4-BE49-F238E27FC236}">
                  <a16:creationId xmlns:a16="http://schemas.microsoft.com/office/drawing/2014/main" id="{00000000-0008-0000-0A00-000002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- 0.01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6</xdr:row>
          <xdr:rowOff>152400</xdr:rowOff>
        </xdr:from>
        <xdr:to>
          <xdr:col>7</xdr:col>
          <xdr:colOff>679450</xdr:colOff>
          <xdr:row>6</xdr:row>
          <xdr:rowOff>469900</xdr:rowOff>
        </xdr:to>
        <xdr:sp macro="" textlink="">
          <xdr:nvSpPr>
            <xdr:cNvPr id="111619" name="Button 3" hidden="1">
              <a:extLst>
                <a:ext uri="{63B3BB69-23CF-44E3-9099-C40C66FF867C}">
                  <a14:compatExt spid="_x0000_s111619"/>
                </a:ext>
                <a:ext uri="{FF2B5EF4-FFF2-40B4-BE49-F238E27FC236}">
                  <a16:creationId xmlns:a16="http://schemas.microsoft.com/office/drawing/2014/main" id="{00000000-0008-0000-0A00-000003B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Set Rates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8</xdr:row>
      <xdr:rowOff>0</xdr:rowOff>
    </xdr:from>
    <xdr:to>
      <xdr:col>1</xdr:col>
      <xdr:colOff>9525</xdr:colOff>
      <xdr:row>8</xdr:row>
      <xdr:rowOff>0</xdr:rowOff>
    </xdr:to>
    <xdr:sp macro="" textlink="">
      <xdr:nvSpPr>
        <xdr:cNvPr id="2" name="Line 17">
          <a:extLst>
            <a:ext uri="{FF2B5EF4-FFF2-40B4-BE49-F238E27FC236}">
              <a16:creationId xmlns:a16="http://schemas.microsoft.com/office/drawing/2014/main" id="{00000000-0008-0000-0B00-000002000000}"/>
            </a:ext>
          </a:extLst>
        </xdr:cNvPr>
        <xdr:cNvSpPr>
          <a:spLocks noChangeShapeType="1"/>
        </xdr:cNvSpPr>
      </xdr:nvSpPr>
      <xdr:spPr bwMode="auto">
        <a:xfrm>
          <a:off x="28575" y="1809750"/>
          <a:ext cx="4667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2</xdr:row>
      <xdr:rowOff>0</xdr:rowOff>
    </xdr:from>
    <xdr:to>
      <xdr:col>2</xdr:col>
      <xdr:colOff>38100</xdr:colOff>
      <xdr:row>2</xdr:row>
      <xdr:rowOff>0</xdr:rowOff>
    </xdr:to>
    <xdr:sp macro="" textlink="">
      <xdr:nvSpPr>
        <xdr:cNvPr id="3" name="Line 28">
          <a:extLst>
            <a:ext uri="{FF2B5EF4-FFF2-40B4-BE49-F238E27FC236}">
              <a16:creationId xmlns:a16="http://schemas.microsoft.com/office/drawing/2014/main" id="{00000000-0008-0000-0B00-000003000000}"/>
            </a:ext>
          </a:extLst>
        </xdr:cNvPr>
        <xdr:cNvSpPr>
          <a:spLocks noChangeShapeType="1"/>
        </xdr:cNvSpPr>
      </xdr:nvSpPr>
      <xdr:spPr bwMode="auto">
        <a:xfrm>
          <a:off x="495300" y="657225"/>
          <a:ext cx="11049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2</xdr:row>
      <xdr:rowOff>0</xdr:rowOff>
    </xdr:from>
    <xdr:to>
      <xdr:col>3</xdr:col>
      <xdr:colOff>9525</xdr:colOff>
      <xdr:row>2</xdr:row>
      <xdr:rowOff>0</xdr:rowOff>
    </xdr:to>
    <xdr:sp macro="" textlink="">
      <xdr:nvSpPr>
        <xdr:cNvPr id="4" name="Line 29">
          <a:extLst>
            <a:ext uri="{FF2B5EF4-FFF2-40B4-BE49-F238E27FC236}">
              <a16:creationId xmlns:a16="http://schemas.microsoft.com/office/drawing/2014/main" id="{00000000-0008-0000-0B00-000004000000}"/>
            </a:ext>
          </a:extLst>
        </xdr:cNvPr>
        <xdr:cNvSpPr>
          <a:spLocks noChangeShapeType="1"/>
        </xdr:cNvSpPr>
      </xdr:nvSpPr>
      <xdr:spPr bwMode="auto">
        <a:xfrm>
          <a:off x="1600200" y="657225"/>
          <a:ext cx="37719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xdr:row>
      <xdr:rowOff>0</xdr:rowOff>
    </xdr:from>
    <xdr:to>
      <xdr:col>4</xdr:col>
      <xdr:colOff>9525</xdr:colOff>
      <xdr:row>2</xdr:row>
      <xdr:rowOff>0</xdr:rowOff>
    </xdr:to>
    <xdr:sp macro="" textlink="">
      <xdr:nvSpPr>
        <xdr:cNvPr id="5" name="Line 30">
          <a:extLst>
            <a:ext uri="{FF2B5EF4-FFF2-40B4-BE49-F238E27FC236}">
              <a16:creationId xmlns:a16="http://schemas.microsoft.com/office/drawing/2014/main" id="{00000000-0008-0000-0B00-000005000000}"/>
            </a:ext>
          </a:extLst>
        </xdr:cNvPr>
        <xdr:cNvSpPr>
          <a:spLocks noChangeShapeType="1"/>
        </xdr:cNvSpPr>
      </xdr:nvSpPr>
      <xdr:spPr bwMode="auto">
        <a:xfrm>
          <a:off x="5372100" y="657225"/>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8</xdr:row>
      <xdr:rowOff>0</xdr:rowOff>
    </xdr:from>
    <xdr:to>
      <xdr:col>2</xdr:col>
      <xdr:colOff>38100</xdr:colOff>
      <xdr:row>8</xdr:row>
      <xdr:rowOff>0</xdr:rowOff>
    </xdr:to>
    <xdr:sp macro="" textlink="">
      <xdr:nvSpPr>
        <xdr:cNvPr id="6" name="Line 31">
          <a:extLst>
            <a:ext uri="{FF2B5EF4-FFF2-40B4-BE49-F238E27FC236}">
              <a16:creationId xmlns:a16="http://schemas.microsoft.com/office/drawing/2014/main" id="{00000000-0008-0000-0B00-000006000000}"/>
            </a:ext>
          </a:extLst>
        </xdr:cNvPr>
        <xdr:cNvSpPr>
          <a:spLocks noChangeShapeType="1"/>
        </xdr:cNvSpPr>
      </xdr:nvSpPr>
      <xdr:spPr bwMode="auto">
        <a:xfrm>
          <a:off x="495300" y="1809750"/>
          <a:ext cx="11049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8</xdr:row>
      <xdr:rowOff>0</xdr:rowOff>
    </xdr:from>
    <xdr:to>
      <xdr:col>3</xdr:col>
      <xdr:colOff>9525</xdr:colOff>
      <xdr:row>8</xdr:row>
      <xdr:rowOff>0</xdr:rowOff>
    </xdr:to>
    <xdr:sp macro="" textlink="">
      <xdr:nvSpPr>
        <xdr:cNvPr id="7" name="Line 32">
          <a:extLst>
            <a:ext uri="{FF2B5EF4-FFF2-40B4-BE49-F238E27FC236}">
              <a16:creationId xmlns:a16="http://schemas.microsoft.com/office/drawing/2014/main" id="{00000000-0008-0000-0B00-000007000000}"/>
            </a:ext>
          </a:extLst>
        </xdr:cNvPr>
        <xdr:cNvSpPr>
          <a:spLocks noChangeShapeType="1"/>
        </xdr:cNvSpPr>
      </xdr:nvSpPr>
      <xdr:spPr bwMode="auto">
        <a:xfrm>
          <a:off x="1600200" y="1809750"/>
          <a:ext cx="37719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8</xdr:row>
      <xdr:rowOff>0</xdr:rowOff>
    </xdr:from>
    <xdr:to>
      <xdr:col>4</xdr:col>
      <xdr:colOff>9525</xdr:colOff>
      <xdr:row>8</xdr:row>
      <xdr:rowOff>0</xdr:rowOff>
    </xdr:to>
    <xdr:sp macro="" textlink="">
      <xdr:nvSpPr>
        <xdr:cNvPr id="8" name="Line 33">
          <a:extLst>
            <a:ext uri="{FF2B5EF4-FFF2-40B4-BE49-F238E27FC236}">
              <a16:creationId xmlns:a16="http://schemas.microsoft.com/office/drawing/2014/main" id="{00000000-0008-0000-0B00-000008000000}"/>
            </a:ext>
          </a:extLst>
        </xdr:cNvPr>
        <xdr:cNvSpPr>
          <a:spLocks noChangeShapeType="1"/>
        </xdr:cNvSpPr>
      </xdr:nvSpPr>
      <xdr:spPr bwMode="auto">
        <a:xfrm>
          <a:off x="5372100" y="1809750"/>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13</xdr:row>
      <xdr:rowOff>0</xdr:rowOff>
    </xdr:from>
    <xdr:to>
      <xdr:col>2</xdr:col>
      <xdr:colOff>38100</xdr:colOff>
      <xdr:row>13</xdr:row>
      <xdr:rowOff>0</xdr:rowOff>
    </xdr:to>
    <xdr:sp macro="" textlink="">
      <xdr:nvSpPr>
        <xdr:cNvPr id="9" name="Line 34">
          <a:extLst>
            <a:ext uri="{FF2B5EF4-FFF2-40B4-BE49-F238E27FC236}">
              <a16:creationId xmlns:a16="http://schemas.microsoft.com/office/drawing/2014/main" id="{00000000-0008-0000-0B00-000009000000}"/>
            </a:ext>
          </a:extLst>
        </xdr:cNvPr>
        <xdr:cNvSpPr>
          <a:spLocks noChangeShapeType="1"/>
        </xdr:cNvSpPr>
      </xdr:nvSpPr>
      <xdr:spPr bwMode="auto">
        <a:xfrm>
          <a:off x="495300" y="2495550"/>
          <a:ext cx="1104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13</xdr:row>
      <xdr:rowOff>0</xdr:rowOff>
    </xdr:from>
    <xdr:to>
      <xdr:col>3</xdr:col>
      <xdr:colOff>9525</xdr:colOff>
      <xdr:row>13</xdr:row>
      <xdr:rowOff>0</xdr:rowOff>
    </xdr:to>
    <xdr:sp macro="" textlink="">
      <xdr:nvSpPr>
        <xdr:cNvPr id="10" name="Line 35">
          <a:extLst>
            <a:ext uri="{FF2B5EF4-FFF2-40B4-BE49-F238E27FC236}">
              <a16:creationId xmlns:a16="http://schemas.microsoft.com/office/drawing/2014/main" id="{00000000-0008-0000-0B00-00000A000000}"/>
            </a:ext>
          </a:extLst>
        </xdr:cNvPr>
        <xdr:cNvSpPr>
          <a:spLocks noChangeShapeType="1"/>
        </xdr:cNvSpPr>
      </xdr:nvSpPr>
      <xdr:spPr bwMode="auto">
        <a:xfrm>
          <a:off x="1600200" y="2495550"/>
          <a:ext cx="3771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13</xdr:row>
      <xdr:rowOff>0</xdr:rowOff>
    </xdr:from>
    <xdr:to>
      <xdr:col>4</xdr:col>
      <xdr:colOff>9525</xdr:colOff>
      <xdr:row>13</xdr:row>
      <xdr:rowOff>0</xdr:rowOff>
    </xdr:to>
    <xdr:sp macro="" textlink="">
      <xdr:nvSpPr>
        <xdr:cNvPr id="11" name="Line 36">
          <a:extLst>
            <a:ext uri="{FF2B5EF4-FFF2-40B4-BE49-F238E27FC236}">
              <a16:creationId xmlns:a16="http://schemas.microsoft.com/office/drawing/2014/main" id="{00000000-0008-0000-0B00-00000B000000}"/>
            </a:ext>
          </a:extLst>
        </xdr:cNvPr>
        <xdr:cNvSpPr>
          <a:spLocks noChangeShapeType="1"/>
        </xdr:cNvSpPr>
      </xdr:nvSpPr>
      <xdr:spPr bwMode="auto">
        <a:xfrm>
          <a:off x="5372100" y="24955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15</xdr:row>
      <xdr:rowOff>0</xdr:rowOff>
    </xdr:from>
    <xdr:to>
      <xdr:col>2</xdr:col>
      <xdr:colOff>38100</xdr:colOff>
      <xdr:row>15</xdr:row>
      <xdr:rowOff>0</xdr:rowOff>
    </xdr:to>
    <xdr:sp macro="" textlink="">
      <xdr:nvSpPr>
        <xdr:cNvPr id="12" name="Line 37">
          <a:extLst>
            <a:ext uri="{FF2B5EF4-FFF2-40B4-BE49-F238E27FC236}">
              <a16:creationId xmlns:a16="http://schemas.microsoft.com/office/drawing/2014/main" id="{00000000-0008-0000-0B00-00000C000000}"/>
            </a:ext>
          </a:extLst>
        </xdr:cNvPr>
        <xdr:cNvSpPr>
          <a:spLocks noChangeShapeType="1"/>
        </xdr:cNvSpPr>
      </xdr:nvSpPr>
      <xdr:spPr bwMode="auto">
        <a:xfrm>
          <a:off x="495300" y="2762250"/>
          <a:ext cx="1104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15</xdr:row>
      <xdr:rowOff>0</xdr:rowOff>
    </xdr:from>
    <xdr:to>
      <xdr:col>3</xdr:col>
      <xdr:colOff>9525</xdr:colOff>
      <xdr:row>15</xdr:row>
      <xdr:rowOff>0</xdr:rowOff>
    </xdr:to>
    <xdr:sp macro="" textlink="">
      <xdr:nvSpPr>
        <xdr:cNvPr id="13" name="Line 38">
          <a:extLst>
            <a:ext uri="{FF2B5EF4-FFF2-40B4-BE49-F238E27FC236}">
              <a16:creationId xmlns:a16="http://schemas.microsoft.com/office/drawing/2014/main" id="{00000000-0008-0000-0B00-00000D000000}"/>
            </a:ext>
          </a:extLst>
        </xdr:cNvPr>
        <xdr:cNvSpPr>
          <a:spLocks noChangeShapeType="1"/>
        </xdr:cNvSpPr>
      </xdr:nvSpPr>
      <xdr:spPr bwMode="auto">
        <a:xfrm>
          <a:off x="1600200" y="2762250"/>
          <a:ext cx="3771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15</xdr:row>
      <xdr:rowOff>0</xdr:rowOff>
    </xdr:from>
    <xdr:to>
      <xdr:col>4</xdr:col>
      <xdr:colOff>9525</xdr:colOff>
      <xdr:row>15</xdr:row>
      <xdr:rowOff>0</xdr:rowOff>
    </xdr:to>
    <xdr:sp macro="" textlink="">
      <xdr:nvSpPr>
        <xdr:cNvPr id="14" name="Line 39">
          <a:extLst>
            <a:ext uri="{FF2B5EF4-FFF2-40B4-BE49-F238E27FC236}">
              <a16:creationId xmlns:a16="http://schemas.microsoft.com/office/drawing/2014/main" id="{00000000-0008-0000-0B00-00000E000000}"/>
            </a:ext>
          </a:extLst>
        </xdr:cNvPr>
        <xdr:cNvSpPr>
          <a:spLocks noChangeShapeType="1"/>
        </xdr:cNvSpPr>
      </xdr:nvSpPr>
      <xdr:spPr bwMode="auto">
        <a:xfrm>
          <a:off x="5372100" y="27622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9525</xdr:colOff>
      <xdr:row>18</xdr:row>
      <xdr:rowOff>0</xdr:rowOff>
    </xdr:from>
    <xdr:to>
      <xdr:col>2</xdr:col>
      <xdr:colOff>38100</xdr:colOff>
      <xdr:row>18</xdr:row>
      <xdr:rowOff>0</xdr:rowOff>
    </xdr:to>
    <xdr:sp macro="" textlink="">
      <xdr:nvSpPr>
        <xdr:cNvPr id="15" name="Line 40">
          <a:extLst>
            <a:ext uri="{FF2B5EF4-FFF2-40B4-BE49-F238E27FC236}">
              <a16:creationId xmlns:a16="http://schemas.microsoft.com/office/drawing/2014/main" id="{00000000-0008-0000-0B00-00000F000000}"/>
            </a:ext>
          </a:extLst>
        </xdr:cNvPr>
        <xdr:cNvSpPr>
          <a:spLocks noChangeShapeType="1"/>
        </xdr:cNvSpPr>
      </xdr:nvSpPr>
      <xdr:spPr bwMode="auto">
        <a:xfrm>
          <a:off x="495300" y="3162300"/>
          <a:ext cx="1104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18</xdr:row>
      <xdr:rowOff>0</xdr:rowOff>
    </xdr:from>
    <xdr:to>
      <xdr:col>3</xdr:col>
      <xdr:colOff>9525</xdr:colOff>
      <xdr:row>18</xdr:row>
      <xdr:rowOff>0</xdr:rowOff>
    </xdr:to>
    <xdr:sp macro="" textlink="">
      <xdr:nvSpPr>
        <xdr:cNvPr id="16" name="Line 41">
          <a:extLst>
            <a:ext uri="{FF2B5EF4-FFF2-40B4-BE49-F238E27FC236}">
              <a16:creationId xmlns:a16="http://schemas.microsoft.com/office/drawing/2014/main" id="{00000000-0008-0000-0B00-000010000000}"/>
            </a:ext>
          </a:extLst>
        </xdr:cNvPr>
        <xdr:cNvSpPr>
          <a:spLocks noChangeShapeType="1"/>
        </xdr:cNvSpPr>
      </xdr:nvSpPr>
      <xdr:spPr bwMode="auto">
        <a:xfrm>
          <a:off x="1600200" y="3162300"/>
          <a:ext cx="3771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3</xdr:col>
      <xdr:colOff>9525</xdr:colOff>
      <xdr:row>18</xdr:row>
      <xdr:rowOff>0</xdr:rowOff>
    </xdr:from>
    <xdr:to>
      <xdr:col>4</xdr:col>
      <xdr:colOff>9525</xdr:colOff>
      <xdr:row>18</xdr:row>
      <xdr:rowOff>0</xdr:rowOff>
    </xdr:to>
    <xdr:sp macro="" textlink="">
      <xdr:nvSpPr>
        <xdr:cNvPr id="17" name="Line 42">
          <a:extLst>
            <a:ext uri="{FF2B5EF4-FFF2-40B4-BE49-F238E27FC236}">
              <a16:creationId xmlns:a16="http://schemas.microsoft.com/office/drawing/2014/main" id="{00000000-0008-0000-0B00-000011000000}"/>
            </a:ext>
          </a:extLst>
        </xdr:cNvPr>
        <xdr:cNvSpPr>
          <a:spLocks noChangeShapeType="1"/>
        </xdr:cNvSpPr>
      </xdr:nvSpPr>
      <xdr:spPr bwMode="auto">
        <a:xfrm>
          <a:off x="5372100" y="316230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xdr:col>
      <xdr:colOff>9525</xdr:colOff>
      <xdr:row>19</xdr:row>
      <xdr:rowOff>0</xdr:rowOff>
    </xdr:from>
    <xdr:to>
      <xdr:col>2</xdr:col>
      <xdr:colOff>38100</xdr:colOff>
      <xdr:row>19</xdr:row>
      <xdr:rowOff>0</xdr:rowOff>
    </xdr:to>
    <xdr:sp macro="" textlink="">
      <xdr:nvSpPr>
        <xdr:cNvPr id="18" name="Line 43">
          <a:extLst>
            <a:ext uri="{FF2B5EF4-FFF2-40B4-BE49-F238E27FC236}">
              <a16:creationId xmlns:a16="http://schemas.microsoft.com/office/drawing/2014/main" id="{00000000-0008-0000-0B00-000012000000}"/>
            </a:ext>
          </a:extLst>
        </xdr:cNvPr>
        <xdr:cNvSpPr>
          <a:spLocks noChangeShapeType="1"/>
        </xdr:cNvSpPr>
      </xdr:nvSpPr>
      <xdr:spPr bwMode="auto">
        <a:xfrm>
          <a:off x="495300" y="3295650"/>
          <a:ext cx="1104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2</xdr:col>
      <xdr:colOff>38100</xdr:colOff>
      <xdr:row>19</xdr:row>
      <xdr:rowOff>0</xdr:rowOff>
    </xdr:from>
    <xdr:to>
      <xdr:col>3</xdr:col>
      <xdr:colOff>9525</xdr:colOff>
      <xdr:row>19</xdr:row>
      <xdr:rowOff>0</xdr:rowOff>
    </xdr:to>
    <xdr:sp macro="" textlink="">
      <xdr:nvSpPr>
        <xdr:cNvPr id="19" name="Line 44">
          <a:extLst>
            <a:ext uri="{FF2B5EF4-FFF2-40B4-BE49-F238E27FC236}">
              <a16:creationId xmlns:a16="http://schemas.microsoft.com/office/drawing/2014/main" id="{00000000-0008-0000-0B00-000013000000}"/>
            </a:ext>
          </a:extLst>
        </xdr:cNvPr>
        <xdr:cNvSpPr>
          <a:spLocks noChangeShapeType="1"/>
        </xdr:cNvSpPr>
      </xdr:nvSpPr>
      <xdr:spPr bwMode="auto">
        <a:xfrm>
          <a:off x="1600200" y="3295650"/>
          <a:ext cx="3771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3</xdr:col>
      <xdr:colOff>9525</xdr:colOff>
      <xdr:row>19</xdr:row>
      <xdr:rowOff>0</xdr:rowOff>
    </xdr:from>
    <xdr:to>
      <xdr:col>4</xdr:col>
      <xdr:colOff>9525</xdr:colOff>
      <xdr:row>19</xdr:row>
      <xdr:rowOff>0</xdr:rowOff>
    </xdr:to>
    <xdr:sp macro="" textlink="">
      <xdr:nvSpPr>
        <xdr:cNvPr id="20" name="Line 45">
          <a:extLst>
            <a:ext uri="{FF2B5EF4-FFF2-40B4-BE49-F238E27FC236}">
              <a16:creationId xmlns:a16="http://schemas.microsoft.com/office/drawing/2014/main" id="{00000000-0008-0000-0B00-000014000000}"/>
            </a:ext>
          </a:extLst>
        </xdr:cNvPr>
        <xdr:cNvSpPr>
          <a:spLocks noChangeShapeType="1"/>
        </xdr:cNvSpPr>
      </xdr:nvSpPr>
      <xdr:spPr bwMode="auto">
        <a:xfrm>
          <a:off x="5372100" y="32956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4</xdr:col>
      <xdr:colOff>0</xdr:colOff>
      <xdr:row>8</xdr:row>
      <xdr:rowOff>0</xdr:rowOff>
    </xdr:from>
    <xdr:to>
      <xdr:col>5</xdr:col>
      <xdr:colOff>9525</xdr:colOff>
      <xdr:row>8</xdr:row>
      <xdr:rowOff>0</xdr:rowOff>
    </xdr:to>
    <xdr:sp macro="" textlink="">
      <xdr:nvSpPr>
        <xdr:cNvPr id="112" name="Line 17">
          <a:extLst>
            <a:ext uri="{FF2B5EF4-FFF2-40B4-BE49-F238E27FC236}">
              <a16:creationId xmlns:a16="http://schemas.microsoft.com/office/drawing/2014/main" id="{00000000-0008-0000-0B00-000070000000}"/>
            </a:ext>
          </a:extLst>
        </xdr:cNvPr>
        <xdr:cNvSpPr>
          <a:spLocks noChangeShapeType="1"/>
        </xdr:cNvSpPr>
      </xdr:nvSpPr>
      <xdr:spPr bwMode="auto">
        <a:xfrm>
          <a:off x="28575" y="1809750"/>
          <a:ext cx="4667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8</xdr:row>
      <xdr:rowOff>0</xdr:rowOff>
    </xdr:from>
    <xdr:to>
      <xdr:col>6</xdr:col>
      <xdr:colOff>9525</xdr:colOff>
      <xdr:row>8</xdr:row>
      <xdr:rowOff>0</xdr:rowOff>
    </xdr:to>
    <xdr:sp macro="" textlink="">
      <xdr:nvSpPr>
        <xdr:cNvPr id="113" name="Line 37">
          <a:extLst>
            <a:ext uri="{FF2B5EF4-FFF2-40B4-BE49-F238E27FC236}">
              <a16:creationId xmlns:a16="http://schemas.microsoft.com/office/drawing/2014/main" id="{00000000-0008-0000-0B00-000071000000}"/>
            </a:ext>
          </a:extLst>
        </xdr:cNvPr>
        <xdr:cNvSpPr>
          <a:spLocks noChangeShapeType="1"/>
        </xdr:cNvSpPr>
      </xdr:nvSpPr>
      <xdr:spPr bwMode="auto">
        <a:xfrm>
          <a:off x="495300" y="1809750"/>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8</xdr:row>
      <xdr:rowOff>0</xdr:rowOff>
    </xdr:from>
    <xdr:to>
      <xdr:col>7</xdr:col>
      <xdr:colOff>9525</xdr:colOff>
      <xdr:row>8</xdr:row>
      <xdr:rowOff>0</xdr:rowOff>
    </xdr:to>
    <xdr:sp macro="" textlink="">
      <xdr:nvSpPr>
        <xdr:cNvPr id="114" name="Line 38">
          <a:extLst>
            <a:ext uri="{FF2B5EF4-FFF2-40B4-BE49-F238E27FC236}">
              <a16:creationId xmlns:a16="http://schemas.microsoft.com/office/drawing/2014/main" id="{00000000-0008-0000-0B00-000072000000}"/>
            </a:ext>
          </a:extLst>
        </xdr:cNvPr>
        <xdr:cNvSpPr>
          <a:spLocks noChangeShapeType="1"/>
        </xdr:cNvSpPr>
      </xdr:nvSpPr>
      <xdr:spPr bwMode="auto">
        <a:xfrm>
          <a:off x="106680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8</xdr:row>
      <xdr:rowOff>0</xdr:rowOff>
    </xdr:from>
    <xdr:to>
      <xdr:col>8</xdr:col>
      <xdr:colOff>9525</xdr:colOff>
      <xdr:row>8</xdr:row>
      <xdr:rowOff>0</xdr:rowOff>
    </xdr:to>
    <xdr:sp macro="" textlink="">
      <xdr:nvSpPr>
        <xdr:cNvPr id="115" name="Line 39">
          <a:extLst>
            <a:ext uri="{FF2B5EF4-FFF2-40B4-BE49-F238E27FC236}">
              <a16:creationId xmlns:a16="http://schemas.microsoft.com/office/drawing/2014/main" id="{00000000-0008-0000-0B00-000073000000}"/>
            </a:ext>
          </a:extLst>
        </xdr:cNvPr>
        <xdr:cNvSpPr>
          <a:spLocks noChangeShapeType="1"/>
        </xdr:cNvSpPr>
      </xdr:nvSpPr>
      <xdr:spPr bwMode="auto">
        <a:xfrm>
          <a:off x="173355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8</xdr:row>
      <xdr:rowOff>0</xdr:rowOff>
    </xdr:from>
    <xdr:to>
      <xdr:col>9</xdr:col>
      <xdr:colOff>9525</xdr:colOff>
      <xdr:row>8</xdr:row>
      <xdr:rowOff>0</xdr:rowOff>
    </xdr:to>
    <xdr:sp macro="" textlink="">
      <xdr:nvSpPr>
        <xdr:cNvPr id="116" name="Line 40">
          <a:extLst>
            <a:ext uri="{FF2B5EF4-FFF2-40B4-BE49-F238E27FC236}">
              <a16:creationId xmlns:a16="http://schemas.microsoft.com/office/drawing/2014/main" id="{00000000-0008-0000-0B00-000074000000}"/>
            </a:ext>
          </a:extLst>
        </xdr:cNvPr>
        <xdr:cNvSpPr>
          <a:spLocks noChangeShapeType="1"/>
        </xdr:cNvSpPr>
      </xdr:nvSpPr>
      <xdr:spPr bwMode="auto">
        <a:xfrm>
          <a:off x="240030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8</xdr:row>
      <xdr:rowOff>0</xdr:rowOff>
    </xdr:from>
    <xdr:to>
      <xdr:col>10</xdr:col>
      <xdr:colOff>9525</xdr:colOff>
      <xdr:row>8</xdr:row>
      <xdr:rowOff>0</xdr:rowOff>
    </xdr:to>
    <xdr:sp macro="" textlink="">
      <xdr:nvSpPr>
        <xdr:cNvPr id="117" name="Line 41">
          <a:extLst>
            <a:ext uri="{FF2B5EF4-FFF2-40B4-BE49-F238E27FC236}">
              <a16:creationId xmlns:a16="http://schemas.microsoft.com/office/drawing/2014/main" id="{00000000-0008-0000-0B00-000075000000}"/>
            </a:ext>
          </a:extLst>
        </xdr:cNvPr>
        <xdr:cNvSpPr>
          <a:spLocks noChangeShapeType="1"/>
        </xdr:cNvSpPr>
      </xdr:nvSpPr>
      <xdr:spPr bwMode="auto">
        <a:xfrm>
          <a:off x="3067050" y="1809750"/>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8</xdr:row>
      <xdr:rowOff>0</xdr:rowOff>
    </xdr:from>
    <xdr:to>
      <xdr:col>11</xdr:col>
      <xdr:colOff>9525</xdr:colOff>
      <xdr:row>8</xdr:row>
      <xdr:rowOff>0</xdr:rowOff>
    </xdr:to>
    <xdr:sp macro="" textlink="">
      <xdr:nvSpPr>
        <xdr:cNvPr id="118" name="Line 42">
          <a:extLst>
            <a:ext uri="{FF2B5EF4-FFF2-40B4-BE49-F238E27FC236}">
              <a16:creationId xmlns:a16="http://schemas.microsoft.com/office/drawing/2014/main" id="{00000000-0008-0000-0B00-000076000000}"/>
            </a:ext>
          </a:extLst>
        </xdr:cNvPr>
        <xdr:cNvSpPr>
          <a:spLocks noChangeShapeType="1"/>
        </xdr:cNvSpPr>
      </xdr:nvSpPr>
      <xdr:spPr bwMode="auto">
        <a:xfrm>
          <a:off x="3571875"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8</xdr:row>
      <xdr:rowOff>0</xdr:rowOff>
    </xdr:from>
    <xdr:to>
      <xdr:col>12</xdr:col>
      <xdr:colOff>9525</xdr:colOff>
      <xdr:row>8</xdr:row>
      <xdr:rowOff>0</xdr:rowOff>
    </xdr:to>
    <xdr:sp macro="" textlink="">
      <xdr:nvSpPr>
        <xdr:cNvPr id="119" name="Line 43">
          <a:extLst>
            <a:ext uri="{FF2B5EF4-FFF2-40B4-BE49-F238E27FC236}">
              <a16:creationId xmlns:a16="http://schemas.microsoft.com/office/drawing/2014/main" id="{00000000-0008-0000-0B00-000077000000}"/>
            </a:ext>
          </a:extLst>
        </xdr:cNvPr>
        <xdr:cNvSpPr>
          <a:spLocks noChangeShapeType="1"/>
        </xdr:cNvSpPr>
      </xdr:nvSpPr>
      <xdr:spPr bwMode="auto">
        <a:xfrm>
          <a:off x="4238625" y="1809750"/>
          <a:ext cx="6096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8</xdr:row>
      <xdr:rowOff>0</xdr:rowOff>
    </xdr:from>
    <xdr:to>
      <xdr:col>13</xdr:col>
      <xdr:colOff>9525</xdr:colOff>
      <xdr:row>8</xdr:row>
      <xdr:rowOff>0</xdr:rowOff>
    </xdr:to>
    <xdr:sp macro="" textlink="">
      <xdr:nvSpPr>
        <xdr:cNvPr id="120" name="Line 44">
          <a:extLst>
            <a:ext uri="{FF2B5EF4-FFF2-40B4-BE49-F238E27FC236}">
              <a16:creationId xmlns:a16="http://schemas.microsoft.com/office/drawing/2014/main" id="{00000000-0008-0000-0B00-000078000000}"/>
            </a:ext>
          </a:extLst>
        </xdr:cNvPr>
        <xdr:cNvSpPr>
          <a:spLocks noChangeShapeType="1"/>
        </xdr:cNvSpPr>
      </xdr:nvSpPr>
      <xdr:spPr bwMode="auto">
        <a:xfrm>
          <a:off x="4848225" y="1809750"/>
          <a:ext cx="67627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8</xdr:row>
      <xdr:rowOff>0</xdr:rowOff>
    </xdr:from>
    <xdr:to>
      <xdr:col>14</xdr:col>
      <xdr:colOff>9525</xdr:colOff>
      <xdr:row>8</xdr:row>
      <xdr:rowOff>0</xdr:rowOff>
    </xdr:to>
    <xdr:sp macro="" textlink="">
      <xdr:nvSpPr>
        <xdr:cNvPr id="121" name="Line 45">
          <a:extLst>
            <a:ext uri="{FF2B5EF4-FFF2-40B4-BE49-F238E27FC236}">
              <a16:creationId xmlns:a16="http://schemas.microsoft.com/office/drawing/2014/main" id="{00000000-0008-0000-0B00-000079000000}"/>
            </a:ext>
          </a:extLst>
        </xdr:cNvPr>
        <xdr:cNvSpPr>
          <a:spLocks noChangeShapeType="1"/>
        </xdr:cNvSpPr>
      </xdr:nvSpPr>
      <xdr:spPr bwMode="auto">
        <a:xfrm>
          <a:off x="552450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18</xdr:row>
      <xdr:rowOff>0</xdr:rowOff>
    </xdr:from>
    <xdr:to>
      <xdr:col>6</xdr:col>
      <xdr:colOff>9525</xdr:colOff>
      <xdr:row>18</xdr:row>
      <xdr:rowOff>0</xdr:rowOff>
    </xdr:to>
    <xdr:sp macro="" textlink="">
      <xdr:nvSpPr>
        <xdr:cNvPr id="122" name="Line 46">
          <a:extLst>
            <a:ext uri="{FF2B5EF4-FFF2-40B4-BE49-F238E27FC236}">
              <a16:creationId xmlns:a16="http://schemas.microsoft.com/office/drawing/2014/main" id="{00000000-0008-0000-0B00-00007A000000}"/>
            </a:ext>
          </a:extLst>
        </xdr:cNvPr>
        <xdr:cNvSpPr>
          <a:spLocks noChangeShapeType="1"/>
        </xdr:cNvSpPr>
      </xdr:nvSpPr>
      <xdr:spPr bwMode="auto">
        <a:xfrm>
          <a:off x="495300" y="2581275"/>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18</xdr:row>
      <xdr:rowOff>0</xdr:rowOff>
    </xdr:from>
    <xdr:to>
      <xdr:col>7</xdr:col>
      <xdr:colOff>9525</xdr:colOff>
      <xdr:row>18</xdr:row>
      <xdr:rowOff>0</xdr:rowOff>
    </xdr:to>
    <xdr:sp macro="" textlink="">
      <xdr:nvSpPr>
        <xdr:cNvPr id="123" name="Line 47">
          <a:extLst>
            <a:ext uri="{FF2B5EF4-FFF2-40B4-BE49-F238E27FC236}">
              <a16:creationId xmlns:a16="http://schemas.microsoft.com/office/drawing/2014/main" id="{00000000-0008-0000-0B00-00007B000000}"/>
            </a:ext>
          </a:extLst>
        </xdr:cNvPr>
        <xdr:cNvSpPr>
          <a:spLocks noChangeShapeType="1"/>
        </xdr:cNvSpPr>
      </xdr:nvSpPr>
      <xdr:spPr bwMode="auto">
        <a:xfrm>
          <a:off x="1066800" y="258127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18</xdr:row>
      <xdr:rowOff>0</xdr:rowOff>
    </xdr:from>
    <xdr:to>
      <xdr:col>8</xdr:col>
      <xdr:colOff>9525</xdr:colOff>
      <xdr:row>18</xdr:row>
      <xdr:rowOff>0</xdr:rowOff>
    </xdr:to>
    <xdr:sp macro="" textlink="">
      <xdr:nvSpPr>
        <xdr:cNvPr id="124" name="Line 48">
          <a:extLst>
            <a:ext uri="{FF2B5EF4-FFF2-40B4-BE49-F238E27FC236}">
              <a16:creationId xmlns:a16="http://schemas.microsoft.com/office/drawing/2014/main" id="{00000000-0008-0000-0B00-00007C000000}"/>
            </a:ext>
          </a:extLst>
        </xdr:cNvPr>
        <xdr:cNvSpPr>
          <a:spLocks noChangeShapeType="1"/>
        </xdr:cNvSpPr>
      </xdr:nvSpPr>
      <xdr:spPr bwMode="auto">
        <a:xfrm>
          <a:off x="1733550" y="258127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18</xdr:row>
      <xdr:rowOff>0</xdr:rowOff>
    </xdr:from>
    <xdr:to>
      <xdr:col>9</xdr:col>
      <xdr:colOff>9525</xdr:colOff>
      <xdr:row>18</xdr:row>
      <xdr:rowOff>0</xdr:rowOff>
    </xdr:to>
    <xdr:sp macro="" textlink="">
      <xdr:nvSpPr>
        <xdr:cNvPr id="125" name="Line 49">
          <a:extLst>
            <a:ext uri="{FF2B5EF4-FFF2-40B4-BE49-F238E27FC236}">
              <a16:creationId xmlns:a16="http://schemas.microsoft.com/office/drawing/2014/main" id="{00000000-0008-0000-0B00-00007D000000}"/>
            </a:ext>
          </a:extLst>
        </xdr:cNvPr>
        <xdr:cNvSpPr>
          <a:spLocks noChangeShapeType="1"/>
        </xdr:cNvSpPr>
      </xdr:nvSpPr>
      <xdr:spPr bwMode="auto">
        <a:xfrm>
          <a:off x="2400300" y="258127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18</xdr:row>
      <xdr:rowOff>0</xdr:rowOff>
    </xdr:from>
    <xdr:to>
      <xdr:col>10</xdr:col>
      <xdr:colOff>9525</xdr:colOff>
      <xdr:row>18</xdr:row>
      <xdr:rowOff>0</xdr:rowOff>
    </xdr:to>
    <xdr:sp macro="" textlink="">
      <xdr:nvSpPr>
        <xdr:cNvPr id="126" name="Line 50">
          <a:extLst>
            <a:ext uri="{FF2B5EF4-FFF2-40B4-BE49-F238E27FC236}">
              <a16:creationId xmlns:a16="http://schemas.microsoft.com/office/drawing/2014/main" id="{00000000-0008-0000-0B00-00007E000000}"/>
            </a:ext>
          </a:extLst>
        </xdr:cNvPr>
        <xdr:cNvSpPr>
          <a:spLocks noChangeShapeType="1"/>
        </xdr:cNvSpPr>
      </xdr:nvSpPr>
      <xdr:spPr bwMode="auto">
        <a:xfrm>
          <a:off x="3067050" y="2581275"/>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18</xdr:row>
      <xdr:rowOff>0</xdr:rowOff>
    </xdr:from>
    <xdr:to>
      <xdr:col>11</xdr:col>
      <xdr:colOff>9525</xdr:colOff>
      <xdr:row>18</xdr:row>
      <xdr:rowOff>0</xdr:rowOff>
    </xdr:to>
    <xdr:sp macro="" textlink="">
      <xdr:nvSpPr>
        <xdr:cNvPr id="127" name="Line 51">
          <a:extLst>
            <a:ext uri="{FF2B5EF4-FFF2-40B4-BE49-F238E27FC236}">
              <a16:creationId xmlns:a16="http://schemas.microsoft.com/office/drawing/2014/main" id="{00000000-0008-0000-0B00-00007F000000}"/>
            </a:ext>
          </a:extLst>
        </xdr:cNvPr>
        <xdr:cNvSpPr>
          <a:spLocks noChangeShapeType="1"/>
        </xdr:cNvSpPr>
      </xdr:nvSpPr>
      <xdr:spPr bwMode="auto">
        <a:xfrm>
          <a:off x="3571875" y="258127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18</xdr:row>
      <xdr:rowOff>0</xdr:rowOff>
    </xdr:from>
    <xdr:to>
      <xdr:col>12</xdr:col>
      <xdr:colOff>9525</xdr:colOff>
      <xdr:row>18</xdr:row>
      <xdr:rowOff>0</xdr:rowOff>
    </xdr:to>
    <xdr:sp macro="" textlink="">
      <xdr:nvSpPr>
        <xdr:cNvPr id="128" name="Line 52">
          <a:extLst>
            <a:ext uri="{FF2B5EF4-FFF2-40B4-BE49-F238E27FC236}">
              <a16:creationId xmlns:a16="http://schemas.microsoft.com/office/drawing/2014/main" id="{00000000-0008-0000-0B00-000080000000}"/>
            </a:ext>
          </a:extLst>
        </xdr:cNvPr>
        <xdr:cNvSpPr>
          <a:spLocks noChangeShapeType="1"/>
        </xdr:cNvSpPr>
      </xdr:nvSpPr>
      <xdr:spPr bwMode="auto">
        <a:xfrm>
          <a:off x="4238625" y="2581275"/>
          <a:ext cx="6096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18</xdr:row>
      <xdr:rowOff>0</xdr:rowOff>
    </xdr:from>
    <xdr:to>
      <xdr:col>13</xdr:col>
      <xdr:colOff>9525</xdr:colOff>
      <xdr:row>18</xdr:row>
      <xdr:rowOff>0</xdr:rowOff>
    </xdr:to>
    <xdr:sp macro="" textlink="">
      <xdr:nvSpPr>
        <xdr:cNvPr id="129" name="Line 53">
          <a:extLst>
            <a:ext uri="{FF2B5EF4-FFF2-40B4-BE49-F238E27FC236}">
              <a16:creationId xmlns:a16="http://schemas.microsoft.com/office/drawing/2014/main" id="{00000000-0008-0000-0B00-000081000000}"/>
            </a:ext>
          </a:extLst>
        </xdr:cNvPr>
        <xdr:cNvSpPr>
          <a:spLocks noChangeShapeType="1"/>
        </xdr:cNvSpPr>
      </xdr:nvSpPr>
      <xdr:spPr bwMode="auto">
        <a:xfrm>
          <a:off x="4848225" y="2581275"/>
          <a:ext cx="67627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18</xdr:row>
      <xdr:rowOff>0</xdr:rowOff>
    </xdr:from>
    <xdr:to>
      <xdr:col>14</xdr:col>
      <xdr:colOff>9525</xdr:colOff>
      <xdr:row>18</xdr:row>
      <xdr:rowOff>0</xdr:rowOff>
    </xdr:to>
    <xdr:sp macro="" textlink="">
      <xdr:nvSpPr>
        <xdr:cNvPr id="130" name="Line 54">
          <a:extLst>
            <a:ext uri="{FF2B5EF4-FFF2-40B4-BE49-F238E27FC236}">
              <a16:creationId xmlns:a16="http://schemas.microsoft.com/office/drawing/2014/main" id="{00000000-0008-0000-0B00-000082000000}"/>
            </a:ext>
          </a:extLst>
        </xdr:cNvPr>
        <xdr:cNvSpPr>
          <a:spLocks noChangeShapeType="1"/>
        </xdr:cNvSpPr>
      </xdr:nvSpPr>
      <xdr:spPr bwMode="auto">
        <a:xfrm>
          <a:off x="5524500" y="258127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24</xdr:row>
      <xdr:rowOff>0</xdr:rowOff>
    </xdr:from>
    <xdr:to>
      <xdr:col>6</xdr:col>
      <xdr:colOff>9525</xdr:colOff>
      <xdr:row>24</xdr:row>
      <xdr:rowOff>0</xdr:rowOff>
    </xdr:to>
    <xdr:sp macro="" textlink="">
      <xdr:nvSpPr>
        <xdr:cNvPr id="131" name="Line 55">
          <a:extLst>
            <a:ext uri="{FF2B5EF4-FFF2-40B4-BE49-F238E27FC236}">
              <a16:creationId xmlns:a16="http://schemas.microsoft.com/office/drawing/2014/main" id="{00000000-0008-0000-0B00-000083000000}"/>
            </a:ext>
          </a:extLst>
        </xdr:cNvPr>
        <xdr:cNvSpPr>
          <a:spLocks noChangeShapeType="1"/>
        </xdr:cNvSpPr>
      </xdr:nvSpPr>
      <xdr:spPr bwMode="auto">
        <a:xfrm>
          <a:off x="495300" y="32861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24</xdr:row>
      <xdr:rowOff>0</xdr:rowOff>
    </xdr:from>
    <xdr:to>
      <xdr:col>7</xdr:col>
      <xdr:colOff>9525</xdr:colOff>
      <xdr:row>24</xdr:row>
      <xdr:rowOff>0</xdr:rowOff>
    </xdr:to>
    <xdr:sp macro="" textlink="">
      <xdr:nvSpPr>
        <xdr:cNvPr id="132" name="Line 56">
          <a:extLst>
            <a:ext uri="{FF2B5EF4-FFF2-40B4-BE49-F238E27FC236}">
              <a16:creationId xmlns:a16="http://schemas.microsoft.com/office/drawing/2014/main" id="{00000000-0008-0000-0B00-000084000000}"/>
            </a:ext>
          </a:extLst>
        </xdr:cNvPr>
        <xdr:cNvSpPr>
          <a:spLocks noChangeShapeType="1"/>
        </xdr:cNvSpPr>
      </xdr:nvSpPr>
      <xdr:spPr bwMode="auto">
        <a:xfrm>
          <a:off x="1066800" y="3286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24</xdr:row>
      <xdr:rowOff>0</xdr:rowOff>
    </xdr:from>
    <xdr:to>
      <xdr:col>8</xdr:col>
      <xdr:colOff>9525</xdr:colOff>
      <xdr:row>24</xdr:row>
      <xdr:rowOff>0</xdr:rowOff>
    </xdr:to>
    <xdr:sp macro="" textlink="">
      <xdr:nvSpPr>
        <xdr:cNvPr id="133" name="Line 57">
          <a:extLst>
            <a:ext uri="{FF2B5EF4-FFF2-40B4-BE49-F238E27FC236}">
              <a16:creationId xmlns:a16="http://schemas.microsoft.com/office/drawing/2014/main" id="{00000000-0008-0000-0B00-000085000000}"/>
            </a:ext>
          </a:extLst>
        </xdr:cNvPr>
        <xdr:cNvSpPr>
          <a:spLocks noChangeShapeType="1"/>
        </xdr:cNvSpPr>
      </xdr:nvSpPr>
      <xdr:spPr bwMode="auto">
        <a:xfrm>
          <a:off x="1733550" y="3286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24</xdr:row>
      <xdr:rowOff>0</xdr:rowOff>
    </xdr:from>
    <xdr:to>
      <xdr:col>9</xdr:col>
      <xdr:colOff>9525</xdr:colOff>
      <xdr:row>24</xdr:row>
      <xdr:rowOff>0</xdr:rowOff>
    </xdr:to>
    <xdr:sp macro="" textlink="">
      <xdr:nvSpPr>
        <xdr:cNvPr id="134" name="Line 58">
          <a:extLst>
            <a:ext uri="{FF2B5EF4-FFF2-40B4-BE49-F238E27FC236}">
              <a16:creationId xmlns:a16="http://schemas.microsoft.com/office/drawing/2014/main" id="{00000000-0008-0000-0B00-000086000000}"/>
            </a:ext>
          </a:extLst>
        </xdr:cNvPr>
        <xdr:cNvSpPr>
          <a:spLocks noChangeShapeType="1"/>
        </xdr:cNvSpPr>
      </xdr:nvSpPr>
      <xdr:spPr bwMode="auto">
        <a:xfrm>
          <a:off x="2400300" y="3286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24</xdr:row>
      <xdr:rowOff>0</xdr:rowOff>
    </xdr:from>
    <xdr:to>
      <xdr:col>10</xdr:col>
      <xdr:colOff>9525</xdr:colOff>
      <xdr:row>24</xdr:row>
      <xdr:rowOff>0</xdr:rowOff>
    </xdr:to>
    <xdr:sp macro="" textlink="">
      <xdr:nvSpPr>
        <xdr:cNvPr id="135" name="Line 59">
          <a:extLst>
            <a:ext uri="{FF2B5EF4-FFF2-40B4-BE49-F238E27FC236}">
              <a16:creationId xmlns:a16="http://schemas.microsoft.com/office/drawing/2014/main" id="{00000000-0008-0000-0B00-000087000000}"/>
            </a:ext>
          </a:extLst>
        </xdr:cNvPr>
        <xdr:cNvSpPr>
          <a:spLocks noChangeShapeType="1"/>
        </xdr:cNvSpPr>
      </xdr:nvSpPr>
      <xdr:spPr bwMode="auto">
        <a:xfrm>
          <a:off x="3067050" y="32861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24</xdr:row>
      <xdr:rowOff>0</xdr:rowOff>
    </xdr:from>
    <xdr:to>
      <xdr:col>11</xdr:col>
      <xdr:colOff>9525</xdr:colOff>
      <xdr:row>24</xdr:row>
      <xdr:rowOff>0</xdr:rowOff>
    </xdr:to>
    <xdr:sp macro="" textlink="">
      <xdr:nvSpPr>
        <xdr:cNvPr id="136" name="Line 60">
          <a:extLst>
            <a:ext uri="{FF2B5EF4-FFF2-40B4-BE49-F238E27FC236}">
              <a16:creationId xmlns:a16="http://schemas.microsoft.com/office/drawing/2014/main" id="{00000000-0008-0000-0B00-000088000000}"/>
            </a:ext>
          </a:extLst>
        </xdr:cNvPr>
        <xdr:cNvSpPr>
          <a:spLocks noChangeShapeType="1"/>
        </xdr:cNvSpPr>
      </xdr:nvSpPr>
      <xdr:spPr bwMode="auto">
        <a:xfrm>
          <a:off x="3571875" y="3286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24</xdr:row>
      <xdr:rowOff>0</xdr:rowOff>
    </xdr:from>
    <xdr:to>
      <xdr:col>12</xdr:col>
      <xdr:colOff>9525</xdr:colOff>
      <xdr:row>24</xdr:row>
      <xdr:rowOff>0</xdr:rowOff>
    </xdr:to>
    <xdr:sp macro="" textlink="">
      <xdr:nvSpPr>
        <xdr:cNvPr id="137" name="Line 61">
          <a:extLst>
            <a:ext uri="{FF2B5EF4-FFF2-40B4-BE49-F238E27FC236}">
              <a16:creationId xmlns:a16="http://schemas.microsoft.com/office/drawing/2014/main" id="{00000000-0008-0000-0B00-000089000000}"/>
            </a:ext>
          </a:extLst>
        </xdr:cNvPr>
        <xdr:cNvSpPr>
          <a:spLocks noChangeShapeType="1"/>
        </xdr:cNvSpPr>
      </xdr:nvSpPr>
      <xdr:spPr bwMode="auto">
        <a:xfrm>
          <a:off x="4238625" y="328612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24</xdr:row>
      <xdr:rowOff>0</xdr:rowOff>
    </xdr:from>
    <xdr:to>
      <xdr:col>13</xdr:col>
      <xdr:colOff>9525</xdr:colOff>
      <xdr:row>24</xdr:row>
      <xdr:rowOff>0</xdr:rowOff>
    </xdr:to>
    <xdr:sp macro="" textlink="">
      <xdr:nvSpPr>
        <xdr:cNvPr id="138" name="Line 62">
          <a:extLst>
            <a:ext uri="{FF2B5EF4-FFF2-40B4-BE49-F238E27FC236}">
              <a16:creationId xmlns:a16="http://schemas.microsoft.com/office/drawing/2014/main" id="{00000000-0008-0000-0B00-00008A000000}"/>
            </a:ext>
          </a:extLst>
        </xdr:cNvPr>
        <xdr:cNvSpPr>
          <a:spLocks noChangeShapeType="1"/>
        </xdr:cNvSpPr>
      </xdr:nvSpPr>
      <xdr:spPr bwMode="auto">
        <a:xfrm>
          <a:off x="4848225" y="328612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24</xdr:row>
      <xdr:rowOff>0</xdr:rowOff>
    </xdr:from>
    <xdr:to>
      <xdr:col>14</xdr:col>
      <xdr:colOff>9525</xdr:colOff>
      <xdr:row>24</xdr:row>
      <xdr:rowOff>0</xdr:rowOff>
    </xdr:to>
    <xdr:sp macro="" textlink="">
      <xdr:nvSpPr>
        <xdr:cNvPr id="139" name="Line 63">
          <a:extLst>
            <a:ext uri="{FF2B5EF4-FFF2-40B4-BE49-F238E27FC236}">
              <a16:creationId xmlns:a16="http://schemas.microsoft.com/office/drawing/2014/main" id="{00000000-0008-0000-0B00-00008B000000}"/>
            </a:ext>
          </a:extLst>
        </xdr:cNvPr>
        <xdr:cNvSpPr>
          <a:spLocks noChangeShapeType="1"/>
        </xdr:cNvSpPr>
      </xdr:nvSpPr>
      <xdr:spPr bwMode="auto">
        <a:xfrm>
          <a:off x="5524500" y="3286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25</xdr:row>
      <xdr:rowOff>0</xdr:rowOff>
    </xdr:from>
    <xdr:to>
      <xdr:col>6</xdr:col>
      <xdr:colOff>9525</xdr:colOff>
      <xdr:row>25</xdr:row>
      <xdr:rowOff>0</xdr:rowOff>
    </xdr:to>
    <xdr:sp macro="" textlink="">
      <xdr:nvSpPr>
        <xdr:cNvPr id="140" name="Line 64">
          <a:extLst>
            <a:ext uri="{FF2B5EF4-FFF2-40B4-BE49-F238E27FC236}">
              <a16:creationId xmlns:a16="http://schemas.microsoft.com/office/drawing/2014/main" id="{00000000-0008-0000-0B00-00008C000000}"/>
            </a:ext>
          </a:extLst>
        </xdr:cNvPr>
        <xdr:cNvSpPr>
          <a:spLocks noChangeShapeType="1"/>
        </xdr:cNvSpPr>
      </xdr:nvSpPr>
      <xdr:spPr bwMode="auto">
        <a:xfrm>
          <a:off x="495300" y="34194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25</xdr:row>
      <xdr:rowOff>0</xdr:rowOff>
    </xdr:from>
    <xdr:to>
      <xdr:col>7</xdr:col>
      <xdr:colOff>9525</xdr:colOff>
      <xdr:row>25</xdr:row>
      <xdr:rowOff>0</xdr:rowOff>
    </xdr:to>
    <xdr:sp macro="" textlink="">
      <xdr:nvSpPr>
        <xdr:cNvPr id="141" name="Line 65">
          <a:extLst>
            <a:ext uri="{FF2B5EF4-FFF2-40B4-BE49-F238E27FC236}">
              <a16:creationId xmlns:a16="http://schemas.microsoft.com/office/drawing/2014/main" id="{00000000-0008-0000-0B00-00008D000000}"/>
            </a:ext>
          </a:extLst>
        </xdr:cNvPr>
        <xdr:cNvSpPr>
          <a:spLocks noChangeShapeType="1"/>
        </xdr:cNvSpPr>
      </xdr:nvSpPr>
      <xdr:spPr bwMode="auto">
        <a:xfrm>
          <a:off x="1066800" y="3419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25</xdr:row>
      <xdr:rowOff>0</xdr:rowOff>
    </xdr:from>
    <xdr:to>
      <xdr:col>8</xdr:col>
      <xdr:colOff>9525</xdr:colOff>
      <xdr:row>25</xdr:row>
      <xdr:rowOff>0</xdr:rowOff>
    </xdr:to>
    <xdr:sp macro="" textlink="">
      <xdr:nvSpPr>
        <xdr:cNvPr id="142" name="Line 66">
          <a:extLst>
            <a:ext uri="{FF2B5EF4-FFF2-40B4-BE49-F238E27FC236}">
              <a16:creationId xmlns:a16="http://schemas.microsoft.com/office/drawing/2014/main" id="{00000000-0008-0000-0B00-00008E000000}"/>
            </a:ext>
          </a:extLst>
        </xdr:cNvPr>
        <xdr:cNvSpPr>
          <a:spLocks noChangeShapeType="1"/>
        </xdr:cNvSpPr>
      </xdr:nvSpPr>
      <xdr:spPr bwMode="auto">
        <a:xfrm>
          <a:off x="1733550" y="3419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25</xdr:row>
      <xdr:rowOff>0</xdr:rowOff>
    </xdr:from>
    <xdr:to>
      <xdr:col>9</xdr:col>
      <xdr:colOff>9525</xdr:colOff>
      <xdr:row>25</xdr:row>
      <xdr:rowOff>0</xdr:rowOff>
    </xdr:to>
    <xdr:sp macro="" textlink="">
      <xdr:nvSpPr>
        <xdr:cNvPr id="143" name="Line 67">
          <a:extLst>
            <a:ext uri="{FF2B5EF4-FFF2-40B4-BE49-F238E27FC236}">
              <a16:creationId xmlns:a16="http://schemas.microsoft.com/office/drawing/2014/main" id="{00000000-0008-0000-0B00-00008F000000}"/>
            </a:ext>
          </a:extLst>
        </xdr:cNvPr>
        <xdr:cNvSpPr>
          <a:spLocks noChangeShapeType="1"/>
        </xdr:cNvSpPr>
      </xdr:nvSpPr>
      <xdr:spPr bwMode="auto">
        <a:xfrm>
          <a:off x="2400300" y="3419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25</xdr:row>
      <xdr:rowOff>0</xdr:rowOff>
    </xdr:from>
    <xdr:to>
      <xdr:col>10</xdr:col>
      <xdr:colOff>9525</xdr:colOff>
      <xdr:row>25</xdr:row>
      <xdr:rowOff>0</xdr:rowOff>
    </xdr:to>
    <xdr:sp macro="" textlink="">
      <xdr:nvSpPr>
        <xdr:cNvPr id="144" name="Line 68">
          <a:extLst>
            <a:ext uri="{FF2B5EF4-FFF2-40B4-BE49-F238E27FC236}">
              <a16:creationId xmlns:a16="http://schemas.microsoft.com/office/drawing/2014/main" id="{00000000-0008-0000-0B00-000090000000}"/>
            </a:ext>
          </a:extLst>
        </xdr:cNvPr>
        <xdr:cNvSpPr>
          <a:spLocks noChangeShapeType="1"/>
        </xdr:cNvSpPr>
      </xdr:nvSpPr>
      <xdr:spPr bwMode="auto">
        <a:xfrm>
          <a:off x="3067050" y="34194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25</xdr:row>
      <xdr:rowOff>0</xdr:rowOff>
    </xdr:from>
    <xdr:to>
      <xdr:col>11</xdr:col>
      <xdr:colOff>9525</xdr:colOff>
      <xdr:row>25</xdr:row>
      <xdr:rowOff>0</xdr:rowOff>
    </xdr:to>
    <xdr:sp macro="" textlink="">
      <xdr:nvSpPr>
        <xdr:cNvPr id="145" name="Line 69">
          <a:extLst>
            <a:ext uri="{FF2B5EF4-FFF2-40B4-BE49-F238E27FC236}">
              <a16:creationId xmlns:a16="http://schemas.microsoft.com/office/drawing/2014/main" id="{00000000-0008-0000-0B00-000091000000}"/>
            </a:ext>
          </a:extLst>
        </xdr:cNvPr>
        <xdr:cNvSpPr>
          <a:spLocks noChangeShapeType="1"/>
        </xdr:cNvSpPr>
      </xdr:nvSpPr>
      <xdr:spPr bwMode="auto">
        <a:xfrm>
          <a:off x="3571875" y="3419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25</xdr:row>
      <xdr:rowOff>0</xdr:rowOff>
    </xdr:from>
    <xdr:to>
      <xdr:col>12</xdr:col>
      <xdr:colOff>9525</xdr:colOff>
      <xdr:row>25</xdr:row>
      <xdr:rowOff>0</xdr:rowOff>
    </xdr:to>
    <xdr:sp macro="" textlink="">
      <xdr:nvSpPr>
        <xdr:cNvPr id="146" name="Line 70">
          <a:extLst>
            <a:ext uri="{FF2B5EF4-FFF2-40B4-BE49-F238E27FC236}">
              <a16:creationId xmlns:a16="http://schemas.microsoft.com/office/drawing/2014/main" id="{00000000-0008-0000-0B00-000092000000}"/>
            </a:ext>
          </a:extLst>
        </xdr:cNvPr>
        <xdr:cNvSpPr>
          <a:spLocks noChangeShapeType="1"/>
        </xdr:cNvSpPr>
      </xdr:nvSpPr>
      <xdr:spPr bwMode="auto">
        <a:xfrm>
          <a:off x="4238625" y="341947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25</xdr:row>
      <xdr:rowOff>0</xdr:rowOff>
    </xdr:from>
    <xdr:to>
      <xdr:col>13</xdr:col>
      <xdr:colOff>9525</xdr:colOff>
      <xdr:row>25</xdr:row>
      <xdr:rowOff>0</xdr:rowOff>
    </xdr:to>
    <xdr:sp macro="" textlink="">
      <xdr:nvSpPr>
        <xdr:cNvPr id="147" name="Line 71">
          <a:extLst>
            <a:ext uri="{FF2B5EF4-FFF2-40B4-BE49-F238E27FC236}">
              <a16:creationId xmlns:a16="http://schemas.microsoft.com/office/drawing/2014/main" id="{00000000-0008-0000-0B00-000093000000}"/>
            </a:ext>
          </a:extLst>
        </xdr:cNvPr>
        <xdr:cNvSpPr>
          <a:spLocks noChangeShapeType="1"/>
        </xdr:cNvSpPr>
      </xdr:nvSpPr>
      <xdr:spPr bwMode="auto">
        <a:xfrm>
          <a:off x="4848225" y="341947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25</xdr:row>
      <xdr:rowOff>0</xdr:rowOff>
    </xdr:from>
    <xdr:to>
      <xdr:col>14</xdr:col>
      <xdr:colOff>9525</xdr:colOff>
      <xdr:row>25</xdr:row>
      <xdr:rowOff>0</xdr:rowOff>
    </xdr:to>
    <xdr:sp macro="" textlink="">
      <xdr:nvSpPr>
        <xdr:cNvPr id="148" name="Line 72">
          <a:extLst>
            <a:ext uri="{FF2B5EF4-FFF2-40B4-BE49-F238E27FC236}">
              <a16:creationId xmlns:a16="http://schemas.microsoft.com/office/drawing/2014/main" id="{00000000-0008-0000-0B00-000094000000}"/>
            </a:ext>
          </a:extLst>
        </xdr:cNvPr>
        <xdr:cNvSpPr>
          <a:spLocks noChangeShapeType="1"/>
        </xdr:cNvSpPr>
      </xdr:nvSpPr>
      <xdr:spPr bwMode="auto">
        <a:xfrm>
          <a:off x="5524500" y="3419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26</xdr:row>
      <xdr:rowOff>0</xdr:rowOff>
    </xdr:from>
    <xdr:to>
      <xdr:col>6</xdr:col>
      <xdr:colOff>9525</xdr:colOff>
      <xdr:row>26</xdr:row>
      <xdr:rowOff>0</xdr:rowOff>
    </xdr:to>
    <xdr:sp macro="" textlink="">
      <xdr:nvSpPr>
        <xdr:cNvPr id="149" name="Line 73">
          <a:extLst>
            <a:ext uri="{FF2B5EF4-FFF2-40B4-BE49-F238E27FC236}">
              <a16:creationId xmlns:a16="http://schemas.microsoft.com/office/drawing/2014/main" id="{00000000-0008-0000-0B00-000095000000}"/>
            </a:ext>
          </a:extLst>
        </xdr:cNvPr>
        <xdr:cNvSpPr>
          <a:spLocks noChangeShapeType="1"/>
        </xdr:cNvSpPr>
      </xdr:nvSpPr>
      <xdr:spPr bwMode="auto">
        <a:xfrm>
          <a:off x="495300" y="35528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26</xdr:row>
      <xdr:rowOff>0</xdr:rowOff>
    </xdr:from>
    <xdr:to>
      <xdr:col>7</xdr:col>
      <xdr:colOff>9525</xdr:colOff>
      <xdr:row>26</xdr:row>
      <xdr:rowOff>0</xdr:rowOff>
    </xdr:to>
    <xdr:sp macro="" textlink="">
      <xdr:nvSpPr>
        <xdr:cNvPr id="150" name="Line 74">
          <a:extLst>
            <a:ext uri="{FF2B5EF4-FFF2-40B4-BE49-F238E27FC236}">
              <a16:creationId xmlns:a16="http://schemas.microsoft.com/office/drawing/2014/main" id="{00000000-0008-0000-0B00-000096000000}"/>
            </a:ext>
          </a:extLst>
        </xdr:cNvPr>
        <xdr:cNvSpPr>
          <a:spLocks noChangeShapeType="1"/>
        </xdr:cNvSpPr>
      </xdr:nvSpPr>
      <xdr:spPr bwMode="auto">
        <a:xfrm>
          <a:off x="1066800" y="3552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26</xdr:row>
      <xdr:rowOff>0</xdr:rowOff>
    </xdr:from>
    <xdr:to>
      <xdr:col>8</xdr:col>
      <xdr:colOff>9525</xdr:colOff>
      <xdr:row>26</xdr:row>
      <xdr:rowOff>0</xdr:rowOff>
    </xdr:to>
    <xdr:sp macro="" textlink="">
      <xdr:nvSpPr>
        <xdr:cNvPr id="151" name="Line 75">
          <a:extLst>
            <a:ext uri="{FF2B5EF4-FFF2-40B4-BE49-F238E27FC236}">
              <a16:creationId xmlns:a16="http://schemas.microsoft.com/office/drawing/2014/main" id="{00000000-0008-0000-0B00-000097000000}"/>
            </a:ext>
          </a:extLst>
        </xdr:cNvPr>
        <xdr:cNvSpPr>
          <a:spLocks noChangeShapeType="1"/>
        </xdr:cNvSpPr>
      </xdr:nvSpPr>
      <xdr:spPr bwMode="auto">
        <a:xfrm>
          <a:off x="1733550" y="3552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26</xdr:row>
      <xdr:rowOff>0</xdr:rowOff>
    </xdr:from>
    <xdr:to>
      <xdr:col>9</xdr:col>
      <xdr:colOff>9525</xdr:colOff>
      <xdr:row>26</xdr:row>
      <xdr:rowOff>0</xdr:rowOff>
    </xdr:to>
    <xdr:sp macro="" textlink="">
      <xdr:nvSpPr>
        <xdr:cNvPr id="152" name="Line 76">
          <a:extLst>
            <a:ext uri="{FF2B5EF4-FFF2-40B4-BE49-F238E27FC236}">
              <a16:creationId xmlns:a16="http://schemas.microsoft.com/office/drawing/2014/main" id="{00000000-0008-0000-0B00-000098000000}"/>
            </a:ext>
          </a:extLst>
        </xdr:cNvPr>
        <xdr:cNvSpPr>
          <a:spLocks noChangeShapeType="1"/>
        </xdr:cNvSpPr>
      </xdr:nvSpPr>
      <xdr:spPr bwMode="auto">
        <a:xfrm>
          <a:off x="2400300" y="3552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26</xdr:row>
      <xdr:rowOff>0</xdr:rowOff>
    </xdr:from>
    <xdr:to>
      <xdr:col>10</xdr:col>
      <xdr:colOff>9525</xdr:colOff>
      <xdr:row>26</xdr:row>
      <xdr:rowOff>0</xdr:rowOff>
    </xdr:to>
    <xdr:sp macro="" textlink="">
      <xdr:nvSpPr>
        <xdr:cNvPr id="153" name="Line 77">
          <a:extLst>
            <a:ext uri="{FF2B5EF4-FFF2-40B4-BE49-F238E27FC236}">
              <a16:creationId xmlns:a16="http://schemas.microsoft.com/office/drawing/2014/main" id="{00000000-0008-0000-0B00-000099000000}"/>
            </a:ext>
          </a:extLst>
        </xdr:cNvPr>
        <xdr:cNvSpPr>
          <a:spLocks noChangeShapeType="1"/>
        </xdr:cNvSpPr>
      </xdr:nvSpPr>
      <xdr:spPr bwMode="auto">
        <a:xfrm>
          <a:off x="3067050" y="35528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26</xdr:row>
      <xdr:rowOff>0</xdr:rowOff>
    </xdr:from>
    <xdr:to>
      <xdr:col>11</xdr:col>
      <xdr:colOff>9525</xdr:colOff>
      <xdr:row>26</xdr:row>
      <xdr:rowOff>0</xdr:rowOff>
    </xdr:to>
    <xdr:sp macro="" textlink="">
      <xdr:nvSpPr>
        <xdr:cNvPr id="154" name="Line 78">
          <a:extLst>
            <a:ext uri="{FF2B5EF4-FFF2-40B4-BE49-F238E27FC236}">
              <a16:creationId xmlns:a16="http://schemas.microsoft.com/office/drawing/2014/main" id="{00000000-0008-0000-0B00-00009A000000}"/>
            </a:ext>
          </a:extLst>
        </xdr:cNvPr>
        <xdr:cNvSpPr>
          <a:spLocks noChangeShapeType="1"/>
        </xdr:cNvSpPr>
      </xdr:nvSpPr>
      <xdr:spPr bwMode="auto">
        <a:xfrm>
          <a:off x="3571875" y="3552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26</xdr:row>
      <xdr:rowOff>0</xdr:rowOff>
    </xdr:from>
    <xdr:to>
      <xdr:col>12</xdr:col>
      <xdr:colOff>9525</xdr:colOff>
      <xdr:row>26</xdr:row>
      <xdr:rowOff>0</xdr:rowOff>
    </xdr:to>
    <xdr:sp macro="" textlink="">
      <xdr:nvSpPr>
        <xdr:cNvPr id="155" name="Line 79">
          <a:extLst>
            <a:ext uri="{FF2B5EF4-FFF2-40B4-BE49-F238E27FC236}">
              <a16:creationId xmlns:a16="http://schemas.microsoft.com/office/drawing/2014/main" id="{00000000-0008-0000-0B00-00009B000000}"/>
            </a:ext>
          </a:extLst>
        </xdr:cNvPr>
        <xdr:cNvSpPr>
          <a:spLocks noChangeShapeType="1"/>
        </xdr:cNvSpPr>
      </xdr:nvSpPr>
      <xdr:spPr bwMode="auto">
        <a:xfrm>
          <a:off x="4238625" y="355282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26</xdr:row>
      <xdr:rowOff>0</xdr:rowOff>
    </xdr:from>
    <xdr:to>
      <xdr:col>13</xdr:col>
      <xdr:colOff>9525</xdr:colOff>
      <xdr:row>26</xdr:row>
      <xdr:rowOff>0</xdr:rowOff>
    </xdr:to>
    <xdr:sp macro="" textlink="">
      <xdr:nvSpPr>
        <xdr:cNvPr id="156" name="Line 80">
          <a:extLst>
            <a:ext uri="{FF2B5EF4-FFF2-40B4-BE49-F238E27FC236}">
              <a16:creationId xmlns:a16="http://schemas.microsoft.com/office/drawing/2014/main" id="{00000000-0008-0000-0B00-00009C000000}"/>
            </a:ext>
          </a:extLst>
        </xdr:cNvPr>
        <xdr:cNvSpPr>
          <a:spLocks noChangeShapeType="1"/>
        </xdr:cNvSpPr>
      </xdr:nvSpPr>
      <xdr:spPr bwMode="auto">
        <a:xfrm>
          <a:off x="4848225" y="355282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26</xdr:row>
      <xdr:rowOff>0</xdr:rowOff>
    </xdr:from>
    <xdr:to>
      <xdr:col>14</xdr:col>
      <xdr:colOff>9525</xdr:colOff>
      <xdr:row>26</xdr:row>
      <xdr:rowOff>0</xdr:rowOff>
    </xdr:to>
    <xdr:sp macro="" textlink="">
      <xdr:nvSpPr>
        <xdr:cNvPr id="157" name="Line 81">
          <a:extLst>
            <a:ext uri="{FF2B5EF4-FFF2-40B4-BE49-F238E27FC236}">
              <a16:creationId xmlns:a16="http://schemas.microsoft.com/office/drawing/2014/main" id="{00000000-0008-0000-0B00-00009D000000}"/>
            </a:ext>
          </a:extLst>
        </xdr:cNvPr>
        <xdr:cNvSpPr>
          <a:spLocks noChangeShapeType="1"/>
        </xdr:cNvSpPr>
      </xdr:nvSpPr>
      <xdr:spPr bwMode="auto">
        <a:xfrm>
          <a:off x="5524500" y="3552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0</xdr:rowOff>
    </xdr:from>
    <xdr:to>
      <xdr:col>6</xdr:col>
      <xdr:colOff>9525</xdr:colOff>
      <xdr:row>28</xdr:row>
      <xdr:rowOff>0</xdr:rowOff>
    </xdr:to>
    <xdr:sp macro="" textlink="">
      <xdr:nvSpPr>
        <xdr:cNvPr id="158" name="Line 82">
          <a:extLst>
            <a:ext uri="{FF2B5EF4-FFF2-40B4-BE49-F238E27FC236}">
              <a16:creationId xmlns:a16="http://schemas.microsoft.com/office/drawing/2014/main" id="{00000000-0008-0000-0B00-00009E000000}"/>
            </a:ext>
          </a:extLst>
        </xdr:cNvPr>
        <xdr:cNvSpPr>
          <a:spLocks noChangeShapeType="1"/>
        </xdr:cNvSpPr>
      </xdr:nvSpPr>
      <xdr:spPr bwMode="auto">
        <a:xfrm>
          <a:off x="495300" y="38195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28</xdr:row>
      <xdr:rowOff>0</xdr:rowOff>
    </xdr:from>
    <xdr:to>
      <xdr:col>7</xdr:col>
      <xdr:colOff>9525</xdr:colOff>
      <xdr:row>28</xdr:row>
      <xdr:rowOff>0</xdr:rowOff>
    </xdr:to>
    <xdr:sp macro="" textlink="">
      <xdr:nvSpPr>
        <xdr:cNvPr id="159" name="Line 83">
          <a:extLst>
            <a:ext uri="{FF2B5EF4-FFF2-40B4-BE49-F238E27FC236}">
              <a16:creationId xmlns:a16="http://schemas.microsoft.com/office/drawing/2014/main" id="{00000000-0008-0000-0B00-00009F000000}"/>
            </a:ext>
          </a:extLst>
        </xdr:cNvPr>
        <xdr:cNvSpPr>
          <a:spLocks noChangeShapeType="1"/>
        </xdr:cNvSpPr>
      </xdr:nvSpPr>
      <xdr:spPr bwMode="auto">
        <a:xfrm>
          <a:off x="1066800" y="38195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28</xdr:row>
      <xdr:rowOff>0</xdr:rowOff>
    </xdr:from>
    <xdr:to>
      <xdr:col>8</xdr:col>
      <xdr:colOff>9525</xdr:colOff>
      <xdr:row>28</xdr:row>
      <xdr:rowOff>0</xdr:rowOff>
    </xdr:to>
    <xdr:sp macro="" textlink="">
      <xdr:nvSpPr>
        <xdr:cNvPr id="160" name="Line 84">
          <a:extLst>
            <a:ext uri="{FF2B5EF4-FFF2-40B4-BE49-F238E27FC236}">
              <a16:creationId xmlns:a16="http://schemas.microsoft.com/office/drawing/2014/main" id="{00000000-0008-0000-0B00-0000A0000000}"/>
            </a:ext>
          </a:extLst>
        </xdr:cNvPr>
        <xdr:cNvSpPr>
          <a:spLocks noChangeShapeType="1"/>
        </xdr:cNvSpPr>
      </xdr:nvSpPr>
      <xdr:spPr bwMode="auto">
        <a:xfrm>
          <a:off x="1733550" y="38195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28</xdr:row>
      <xdr:rowOff>0</xdr:rowOff>
    </xdr:from>
    <xdr:to>
      <xdr:col>9</xdr:col>
      <xdr:colOff>9525</xdr:colOff>
      <xdr:row>28</xdr:row>
      <xdr:rowOff>0</xdr:rowOff>
    </xdr:to>
    <xdr:sp macro="" textlink="">
      <xdr:nvSpPr>
        <xdr:cNvPr id="161" name="Line 85">
          <a:extLst>
            <a:ext uri="{FF2B5EF4-FFF2-40B4-BE49-F238E27FC236}">
              <a16:creationId xmlns:a16="http://schemas.microsoft.com/office/drawing/2014/main" id="{00000000-0008-0000-0B00-0000A1000000}"/>
            </a:ext>
          </a:extLst>
        </xdr:cNvPr>
        <xdr:cNvSpPr>
          <a:spLocks noChangeShapeType="1"/>
        </xdr:cNvSpPr>
      </xdr:nvSpPr>
      <xdr:spPr bwMode="auto">
        <a:xfrm>
          <a:off x="2400300" y="38195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28</xdr:row>
      <xdr:rowOff>0</xdr:rowOff>
    </xdr:from>
    <xdr:to>
      <xdr:col>10</xdr:col>
      <xdr:colOff>9525</xdr:colOff>
      <xdr:row>28</xdr:row>
      <xdr:rowOff>0</xdr:rowOff>
    </xdr:to>
    <xdr:sp macro="" textlink="">
      <xdr:nvSpPr>
        <xdr:cNvPr id="162" name="Line 86">
          <a:extLst>
            <a:ext uri="{FF2B5EF4-FFF2-40B4-BE49-F238E27FC236}">
              <a16:creationId xmlns:a16="http://schemas.microsoft.com/office/drawing/2014/main" id="{00000000-0008-0000-0B00-0000A2000000}"/>
            </a:ext>
          </a:extLst>
        </xdr:cNvPr>
        <xdr:cNvSpPr>
          <a:spLocks noChangeShapeType="1"/>
        </xdr:cNvSpPr>
      </xdr:nvSpPr>
      <xdr:spPr bwMode="auto">
        <a:xfrm>
          <a:off x="3067050" y="38195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28</xdr:row>
      <xdr:rowOff>0</xdr:rowOff>
    </xdr:from>
    <xdr:to>
      <xdr:col>11</xdr:col>
      <xdr:colOff>9525</xdr:colOff>
      <xdr:row>28</xdr:row>
      <xdr:rowOff>0</xdr:rowOff>
    </xdr:to>
    <xdr:sp macro="" textlink="">
      <xdr:nvSpPr>
        <xdr:cNvPr id="163" name="Line 87">
          <a:extLst>
            <a:ext uri="{FF2B5EF4-FFF2-40B4-BE49-F238E27FC236}">
              <a16:creationId xmlns:a16="http://schemas.microsoft.com/office/drawing/2014/main" id="{00000000-0008-0000-0B00-0000A3000000}"/>
            </a:ext>
          </a:extLst>
        </xdr:cNvPr>
        <xdr:cNvSpPr>
          <a:spLocks noChangeShapeType="1"/>
        </xdr:cNvSpPr>
      </xdr:nvSpPr>
      <xdr:spPr bwMode="auto">
        <a:xfrm>
          <a:off x="3571875" y="38195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28</xdr:row>
      <xdr:rowOff>0</xdr:rowOff>
    </xdr:from>
    <xdr:to>
      <xdr:col>12</xdr:col>
      <xdr:colOff>9525</xdr:colOff>
      <xdr:row>28</xdr:row>
      <xdr:rowOff>0</xdr:rowOff>
    </xdr:to>
    <xdr:sp macro="" textlink="">
      <xdr:nvSpPr>
        <xdr:cNvPr id="164" name="Line 88">
          <a:extLst>
            <a:ext uri="{FF2B5EF4-FFF2-40B4-BE49-F238E27FC236}">
              <a16:creationId xmlns:a16="http://schemas.microsoft.com/office/drawing/2014/main" id="{00000000-0008-0000-0B00-0000A4000000}"/>
            </a:ext>
          </a:extLst>
        </xdr:cNvPr>
        <xdr:cNvSpPr>
          <a:spLocks noChangeShapeType="1"/>
        </xdr:cNvSpPr>
      </xdr:nvSpPr>
      <xdr:spPr bwMode="auto">
        <a:xfrm>
          <a:off x="4238625" y="381952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28</xdr:row>
      <xdr:rowOff>0</xdr:rowOff>
    </xdr:from>
    <xdr:to>
      <xdr:col>13</xdr:col>
      <xdr:colOff>9525</xdr:colOff>
      <xdr:row>28</xdr:row>
      <xdr:rowOff>0</xdr:rowOff>
    </xdr:to>
    <xdr:sp macro="" textlink="">
      <xdr:nvSpPr>
        <xdr:cNvPr id="165" name="Line 89">
          <a:extLst>
            <a:ext uri="{FF2B5EF4-FFF2-40B4-BE49-F238E27FC236}">
              <a16:creationId xmlns:a16="http://schemas.microsoft.com/office/drawing/2014/main" id="{00000000-0008-0000-0B00-0000A5000000}"/>
            </a:ext>
          </a:extLst>
        </xdr:cNvPr>
        <xdr:cNvSpPr>
          <a:spLocks noChangeShapeType="1"/>
        </xdr:cNvSpPr>
      </xdr:nvSpPr>
      <xdr:spPr bwMode="auto">
        <a:xfrm>
          <a:off x="4848225" y="381952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28</xdr:row>
      <xdr:rowOff>0</xdr:rowOff>
    </xdr:from>
    <xdr:to>
      <xdr:col>14</xdr:col>
      <xdr:colOff>9525</xdr:colOff>
      <xdr:row>28</xdr:row>
      <xdr:rowOff>0</xdr:rowOff>
    </xdr:to>
    <xdr:sp macro="" textlink="">
      <xdr:nvSpPr>
        <xdr:cNvPr id="166" name="Line 90">
          <a:extLst>
            <a:ext uri="{FF2B5EF4-FFF2-40B4-BE49-F238E27FC236}">
              <a16:creationId xmlns:a16="http://schemas.microsoft.com/office/drawing/2014/main" id="{00000000-0008-0000-0B00-0000A6000000}"/>
            </a:ext>
          </a:extLst>
        </xdr:cNvPr>
        <xdr:cNvSpPr>
          <a:spLocks noChangeShapeType="1"/>
        </xdr:cNvSpPr>
      </xdr:nvSpPr>
      <xdr:spPr bwMode="auto">
        <a:xfrm>
          <a:off x="5524500" y="38195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29</xdr:row>
      <xdr:rowOff>0</xdr:rowOff>
    </xdr:from>
    <xdr:to>
      <xdr:col>6</xdr:col>
      <xdr:colOff>9525</xdr:colOff>
      <xdr:row>29</xdr:row>
      <xdr:rowOff>0</xdr:rowOff>
    </xdr:to>
    <xdr:sp macro="" textlink="">
      <xdr:nvSpPr>
        <xdr:cNvPr id="167" name="Line 91">
          <a:extLst>
            <a:ext uri="{FF2B5EF4-FFF2-40B4-BE49-F238E27FC236}">
              <a16:creationId xmlns:a16="http://schemas.microsoft.com/office/drawing/2014/main" id="{00000000-0008-0000-0B00-0000A7000000}"/>
            </a:ext>
          </a:extLst>
        </xdr:cNvPr>
        <xdr:cNvSpPr>
          <a:spLocks noChangeShapeType="1"/>
        </xdr:cNvSpPr>
      </xdr:nvSpPr>
      <xdr:spPr bwMode="auto">
        <a:xfrm>
          <a:off x="495300" y="39528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29</xdr:row>
      <xdr:rowOff>0</xdr:rowOff>
    </xdr:from>
    <xdr:to>
      <xdr:col>7</xdr:col>
      <xdr:colOff>9525</xdr:colOff>
      <xdr:row>29</xdr:row>
      <xdr:rowOff>0</xdr:rowOff>
    </xdr:to>
    <xdr:sp macro="" textlink="">
      <xdr:nvSpPr>
        <xdr:cNvPr id="168" name="Line 92">
          <a:extLst>
            <a:ext uri="{FF2B5EF4-FFF2-40B4-BE49-F238E27FC236}">
              <a16:creationId xmlns:a16="http://schemas.microsoft.com/office/drawing/2014/main" id="{00000000-0008-0000-0B00-0000A8000000}"/>
            </a:ext>
          </a:extLst>
        </xdr:cNvPr>
        <xdr:cNvSpPr>
          <a:spLocks noChangeShapeType="1"/>
        </xdr:cNvSpPr>
      </xdr:nvSpPr>
      <xdr:spPr bwMode="auto">
        <a:xfrm>
          <a:off x="1066800" y="3952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29</xdr:row>
      <xdr:rowOff>0</xdr:rowOff>
    </xdr:from>
    <xdr:to>
      <xdr:col>8</xdr:col>
      <xdr:colOff>9525</xdr:colOff>
      <xdr:row>29</xdr:row>
      <xdr:rowOff>0</xdr:rowOff>
    </xdr:to>
    <xdr:sp macro="" textlink="">
      <xdr:nvSpPr>
        <xdr:cNvPr id="169" name="Line 93">
          <a:extLst>
            <a:ext uri="{FF2B5EF4-FFF2-40B4-BE49-F238E27FC236}">
              <a16:creationId xmlns:a16="http://schemas.microsoft.com/office/drawing/2014/main" id="{00000000-0008-0000-0B00-0000A9000000}"/>
            </a:ext>
          </a:extLst>
        </xdr:cNvPr>
        <xdr:cNvSpPr>
          <a:spLocks noChangeShapeType="1"/>
        </xdr:cNvSpPr>
      </xdr:nvSpPr>
      <xdr:spPr bwMode="auto">
        <a:xfrm>
          <a:off x="1733550" y="3952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29</xdr:row>
      <xdr:rowOff>0</xdr:rowOff>
    </xdr:from>
    <xdr:to>
      <xdr:col>9</xdr:col>
      <xdr:colOff>9525</xdr:colOff>
      <xdr:row>29</xdr:row>
      <xdr:rowOff>0</xdr:rowOff>
    </xdr:to>
    <xdr:sp macro="" textlink="">
      <xdr:nvSpPr>
        <xdr:cNvPr id="170" name="Line 94">
          <a:extLst>
            <a:ext uri="{FF2B5EF4-FFF2-40B4-BE49-F238E27FC236}">
              <a16:creationId xmlns:a16="http://schemas.microsoft.com/office/drawing/2014/main" id="{00000000-0008-0000-0B00-0000AA000000}"/>
            </a:ext>
          </a:extLst>
        </xdr:cNvPr>
        <xdr:cNvSpPr>
          <a:spLocks noChangeShapeType="1"/>
        </xdr:cNvSpPr>
      </xdr:nvSpPr>
      <xdr:spPr bwMode="auto">
        <a:xfrm>
          <a:off x="2400300" y="3952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29</xdr:row>
      <xdr:rowOff>0</xdr:rowOff>
    </xdr:from>
    <xdr:to>
      <xdr:col>10</xdr:col>
      <xdr:colOff>9525</xdr:colOff>
      <xdr:row>29</xdr:row>
      <xdr:rowOff>0</xdr:rowOff>
    </xdr:to>
    <xdr:sp macro="" textlink="">
      <xdr:nvSpPr>
        <xdr:cNvPr id="171" name="Line 95">
          <a:extLst>
            <a:ext uri="{FF2B5EF4-FFF2-40B4-BE49-F238E27FC236}">
              <a16:creationId xmlns:a16="http://schemas.microsoft.com/office/drawing/2014/main" id="{00000000-0008-0000-0B00-0000AB000000}"/>
            </a:ext>
          </a:extLst>
        </xdr:cNvPr>
        <xdr:cNvSpPr>
          <a:spLocks noChangeShapeType="1"/>
        </xdr:cNvSpPr>
      </xdr:nvSpPr>
      <xdr:spPr bwMode="auto">
        <a:xfrm>
          <a:off x="3067050" y="39528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29</xdr:row>
      <xdr:rowOff>0</xdr:rowOff>
    </xdr:from>
    <xdr:to>
      <xdr:col>11</xdr:col>
      <xdr:colOff>9525</xdr:colOff>
      <xdr:row>29</xdr:row>
      <xdr:rowOff>0</xdr:rowOff>
    </xdr:to>
    <xdr:sp macro="" textlink="">
      <xdr:nvSpPr>
        <xdr:cNvPr id="172" name="Line 96">
          <a:extLst>
            <a:ext uri="{FF2B5EF4-FFF2-40B4-BE49-F238E27FC236}">
              <a16:creationId xmlns:a16="http://schemas.microsoft.com/office/drawing/2014/main" id="{00000000-0008-0000-0B00-0000AC000000}"/>
            </a:ext>
          </a:extLst>
        </xdr:cNvPr>
        <xdr:cNvSpPr>
          <a:spLocks noChangeShapeType="1"/>
        </xdr:cNvSpPr>
      </xdr:nvSpPr>
      <xdr:spPr bwMode="auto">
        <a:xfrm>
          <a:off x="3571875" y="3952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29</xdr:row>
      <xdr:rowOff>0</xdr:rowOff>
    </xdr:from>
    <xdr:to>
      <xdr:col>12</xdr:col>
      <xdr:colOff>9525</xdr:colOff>
      <xdr:row>29</xdr:row>
      <xdr:rowOff>0</xdr:rowOff>
    </xdr:to>
    <xdr:sp macro="" textlink="">
      <xdr:nvSpPr>
        <xdr:cNvPr id="173" name="Line 97">
          <a:extLst>
            <a:ext uri="{FF2B5EF4-FFF2-40B4-BE49-F238E27FC236}">
              <a16:creationId xmlns:a16="http://schemas.microsoft.com/office/drawing/2014/main" id="{00000000-0008-0000-0B00-0000AD000000}"/>
            </a:ext>
          </a:extLst>
        </xdr:cNvPr>
        <xdr:cNvSpPr>
          <a:spLocks noChangeShapeType="1"/>
        </xdr:cNvSpPr>
      </xdr:nvSpPr>
      <xdr:spPr bwMode="auto">
        <a:xfrm>
          <a:off x="4238625" y="395287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29</xdr:row>
      <xdr:rowOff>0</xdr:rowOff>
    </xdr:from>
    <xdr:to>
      <xdr:col>13</xdr:col>
      <xdr:colOff>9525</xdr:colOff>
      <xdr:row>29</xdr:row>
      <xdr:rowOff>0</xdr:rowOff>
    </xdr:to>
    <xdr:sp macro="" textlink="">
      <xdr:nvSpPr>
        <xdr:cNvPr id="174" name="Line 98">
          <a:extLst>
            <a:ext uri="{FF2B5EF4-FFF2-40B4-BE49-F238E27FC236}">
              <a16:creationId xmlns:a16="http://schemas.microsoft.com/office/drawing/2014/main" id="{00000000-0008-0000-0B00-0000AE000000}"/>
            </a:ext>
          </a:extLst>
        </xdr:cNvPr>
        <xdr:cNvSpPr>
          <a:spLocks noChangeShapeType="1"/>
        </xdr:cNvSpPr>
      </xdr:nvSpPr>
      <xdr:spPr bwMode="auto">
        <a:xfrm>
          <a:off x="4848225" y="395287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29</xdr:row>
      <xdr:rowOff>0</xdr:rowOff>
    </xdr:from>
    <xdr:to>
      <xdr:col>14</xdr:col>
      <xdr:colOff>9525</xdr:colOff>
      <xdr:row>29</xdr:row>
      <xdr:rowOff>0</xdr:rowOff>
    </xdr:to>
    <xdr:sp macro="" textlink="">
      <xdr:nvSpPr>
        <xdr:cNvPr id="175" name="Line 99">
          <a:extLst>
            <a:ext uri="{FF2B5EF4-FFF2-40B4-BE49-F238E27FC236}">
              <a16:creationId xmlns:a16="http://schemas.microsoft.com/office/drawing/2014/main" id="{00000000-0008-0000-0B00-0000AF000000}"/>
            </a:ext>
          </a:extLst>
        </xdr:cNvPr>
        <xdr:cNvSpPr>
          <a:spLocks noChangeShapeType="1"/>
        </xdr:cNvSpPr>
      </xdr:nvSpPr>
      <xdr:spPr bwMode="auto">
        <a:xfrm>
          <a:off x="5524500" y="3952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30</xdr:row>
      <xdr:rowOff>0</xdr:rowOff>
    </xdr:from>
    <xdr:to>
      <xdr:col>6</xdr:col>
      <xdr:colOff>9525</xdr:colOff>
      <xdr:row>30</xdr:row>
      <xdr:rowOff>0</xdr:rowOff>
    </xdr:to>
    <xdr:sp macro="" textlink="">
      <xdr:nvSpPr>
        <xdr:cNvPr id="176" name="Line 100">
          <a:extLst>
            <a:ext uri="{FF2B5EF4-FFF2-40B4-BE49-F238E27FC236}">
              <a16:creationId xmlns:a16="http://schemas.microsoft.com/office/drawing/2014/main" id="{00000000-0008-0000-0B00-0000B0000000}"/>
            </a:ext>
          </a:extLst>
        </xdr:cNvPr>
        <xdr:cNvSpPr>
          <a:spLocks noChangeShapeType="1"/>
        </xdr:cNvSpPr>
      </xdr:nvSpPr>
      <xdr:spPr bwMode="auto">
        <a:xfrm>
          <a:off x="495300" y="40862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30</xdr:row>
      <xdr:rowOff>0</xdr:rowOff>
    </xdr:from>
    <xdr:to>
      <xdr:col>7</xdr:col>
      <xdr:colOff>9525</xdr:colOff>
      <xdr:row>30</xdr:row>
      <xdr:rowOff>0</xdr:rowOff>
    </xdr:to>
    <xdr:sp macro="" textlink="">
      <xdr:nvSpPr>
        <xdr:cNvPr id="177" name="Line 101">
          <a:extLst>
            <a:ext uri="{FF2B5EF4-FFF2-40B4-BE49-F238E27FC236}">
              <a16:creationId xmlns:a16="http://schemas.microsoft.com/office/drawing/2014/main" id="{00000000-0008-0000-0B00-0000B1000000}"/>
            </a:ext>
          </a:extLst>
        </xdr:cNvPr>
        <xdr:cNvSpPr>
          <a:spLocks noChangeShapeType="1"/>
        </xdr:cNvSpPr>
      </xdr:nvSpPr>
      <xdr:spPr bwMode="auto">
        <a:xfrm>
          <a:off x="1066800" y="40862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30</xdr:row>
      <xdr:rowOff>0</xdr:rowOff>
    </xdr:from>
    <xdr:to>
      <xdr:col>8</xdr:col>
      <xdr:colOff>9525</xdr:colOff>
      <xdr:row>30</xdr:row>
      <xdr:rowOff>0</xdr:rowOff>
    </xdr:to>
    <xdr:sp macro="" textlink="">
      <xdr:nvSpPr>
        <xdr:cNvPr id="178" name="Line 102">
          <a:extLst>
            <a:ext uri="{FF2B5EF4-FFF2-40B4-BE49-F238E27FC236}">
              <a16:creationId xmlns:a16="http://schemas.microsoft.com/office/drawing/2014/main" id="{00000000-0008-0000-0B00-0000B2000000}"/>
            </a:ext>
          </a:extLst>
        </xdr:cNvPr>
        <xdr:cNvSpPr>
          <a:spLocks noChangeShapeType="1"/>
        </xdr:cNvSpPr>
      </xdr:nvSpPr>
      <xdr:spPr bwMode="auto">
        <a:xfrm>
          <a:off x="1733550" y="40862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30</xdr:row>
      <xdr:rowOff>0</xdr:rowOff>
    </xdr:from>
    <xdr:to>
      <xdr:col>9</xdr:col>
      <xdr:colOff>9525</xdr:colOff>
      <xdr:row>30</xdr:row>
      <xdr:rowOff>0</xdr:rowOff>
    </xdr:to>
    <xdr:sp macro="" textlink="">
      <xdr:nvSpPr>
        <xdr:cNvPr id="179" name="Line 103">
          <a:extLst>
            <a:ext uri="{FF2B5EF4-FFF2-40B4-BE49-F238E27FC236}">
              <a16:creationId xmlns:a16="http://schemas.microsoft.com/office/drawing/2014/main" id="{00000000-0008-0000-0B00-0000B3000000}"/>
            </a:ext>
          </a:extLst>
        </xdr:cNvPr>
        <xdr:cNvSpPr>
          <a:spLocks noChangeShapeType="1"/>
        </xdr:cNvSpPr>
      </xdr:nvSpPr>
      <xdr:spPr bwMode="auto">
        <a:xfrm>
          <a:off x="2400300" y="40862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30</xdr:row>
      <xdr:rowOff>0</xdr:rowOff>
    </xdr:from>
    <xdr:to>
      <xdr:col>10</xdr:col>
      <xdr:colOff>9525</xdr:colOff>
      <xdr:row>30</xdr:row>
      <xdr:rowOff>0</xdr:rowOff>
    </xdr:to>
    <xdr:sp macro="" textlink="">
      <xdr:nvSpPr>
        <xdr:cNvPr id="180" name="Line 104">
          <a:extLst>
            <a:ext uri="{FF2B5EF4-FFF2-40B4-BE49-F238E27FC236}">
              <a16:creationId xmlns:a16="http://schemas.microsoft.com/office/drawing/2014/main" id="{00000000-0008-0000-0B00-0000B4000000}"/>
            </a:ext>
          </a:extLst>
        </xdr:cNvPr>
        <xdr:cNvSpPr>
          <a:spLocks noChangeShapeType="1"/>
        </xdr:cNvSpPr>
      </xdr:nvSpPr>
      <xdr:spPr bwMode="auto">
        <a:xfrm>
          <a:off x="3067050" y="40862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30</xdr:row>
      <xdr:rowOff>0</xdr:rowOff>
    </xdr:from>
    <xdr:to>
      <xdr:col>11</xdr:col>
      <xdr:colOff>9525</xdr:colOff>
      <xdr:row>30</xdr:row>
      <xdr:rowOff>0</xdr:rowOff>
    </xdr:to>
    <xdr:sp macro="" textlink="">
      <xdr:nvSpPr>
        <xdr:cNvPr id="181" name="Line 105">
          <a:extLst>
            <a:ext uri="{FF2B5EF4-FFF2-40B4-BE49-F238E27FC236}">
              <a16:creationId xmlns:a16="http://schemas.microsoft.com/office/drawing/2014/main" id="{00000000-0008-0000-0B00-0000B5000000}"/>
            </a:ext>
          </a:extLst>
        </xdr:cNvPr>
        <xdr:cNvSpPr>
          <a:spLocks noChangeShapeType="1"/>
        </xdr:cNvSpPr>
      </xdr:nvSpPr>
      <xdr:spPr bwMode="auto">
        <a:xfrm>
          <a:off x="3571875" y="40862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30</xdr:row>
      <xdr:rowOff>0</xdr:rowOff>
    </xdr:from>
    <xdr:to>
      <xdr:col>12</xdr:col>
      <xdr:colOff>9525</xdr:colOff>
      <xdr:row>30</xdr:row>
      <xdr:rowOff>0</xdr:rowOff>
    </xdr:to>
    <xdr:sp macro="" textlink="">
      <xdr:nvSpPr>
        <xdr:cNvPr id="182" name="Line 106">
          <a:extLst>
            <a:ext uri="{FF2B5EF4-FFF2-40B4-BE49-F238E27FC236}">
              <a16:creationId xmlns:a16="http://schemas.microsoft.com/office/drawing/2014/main" id="{00000000-0008-0000-0B00-0000B6000000}"/>
            </a:ext>
          </a:extLst>
        </xdr:cNvPr>
        <xdr:cNvSpPr>
          <a:spLocks noChangeShapeType="1"/>
        </xdr:cNvSpPr>
      </xdr:nvSpPr>
      <xdr:spPr bwMode="auto">
        <a:xfrm>
          <a:off x="4238625" y="408622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30</xdr:row>
      <xdr:rowOff>0</xdr:rowOff>
    </xdr:from>
    <xdr:to>
      <xdr:col>13</xdr:col>
      <xdr:colOff>9525</xdr:colOff>
      <xdr:row>30</xdr:row>
      <xdr:rowOff>0</xdr:rowOff>
    </xdr:to>
    <xdr:sp macro="" textlink="">
      <xdr:nvSpPr>
        <xdr:cNvPr id="183" name="Line 107">
          <a:extLst>
            <a:ext uri="{FF2B5EF4-FFF2-40B4-BE49-F238E27FC236}">
              <a16:creationId xmlns:a16="http://schemas.microsoft.com/office/drawing/2014/main" id="{00000000-0008-0000-0B00-0000B7000000}"/>
            </a:ext>
          </a:extLst>
        </xdr:cNvPr>
        <xdr:cNvSpPr>
          <a:spLocks noChangeShapeType="1"/>
        </xdr:cNvSpPr>
      </xdr:nvSpPr>
      <xdr:spPr bwMode="auto">
        <a:xfrm>
          <a:off x="4848225" y="408622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30</xdr:row>
      <xdr:rowOff>0</xdr:rowOff>
    </xdr:from>
    <xdr:to>
      <xdr:col>14</xdr:col>
      <xdr:colOff>9525</xdr:colOff>
      <xdr:row>30</xdr:row>
      <xdr:rowOff>0</xdr:rowOff>
    </xdr:to>
    <xdr:sp macro="" textlink="">
      <xdr:nvSpPr>
        <xdr:cNvPr id="184" name="Line 108">
          <a:extLst>
            <a:ext uri="{FF2B5EF4-FFF2-40B4-BE49-F238E27FC236}">
              <a16:creationId xmlns:a16="http://schemas.microsoft.com/office/drawing/2014/main" id="{00000000-0008-0000-0B00-0000B8000000}"/>
            </a:ext>
          </a:extLst>
        </xdr:cNvPr>
        <xdr:cNvSpPr>
          <a:spLocks noChangeShapeType="1"/>
        </xdr:cNvSpPr>
      </xdr:nvSpPr>
      <xdr:spPr bwMode="auto">
        <a:xfrm>
          <a:off x="5524500" y="40862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31</xdr:row>
      <xdr:rowOff>0</xdr:rowOff>
    </xdr:from>
    <xdr:to>
      <xdr:col>6</xdr:col>
      <xdr:colOff>9525</xdr:colOff>
      <xdr:row>31</xdr:row>
      <xdr:rowOff>0</xdr:rowOff>
    </xdr:to>
    <xdr:sp macro="" textlink="">
      <xdr:nvSpPr>
        <xdr:cNvPr id="185" name="Line 109">
          <a:extLst>
            <a:ext uri="{FF2B5EF4-FFF2-40B4-BE49-F238E27FC236}">
              <a16:creationId xmlns:a16="http://schemas.microsoft.com/office/drawing/2014/main" id="{00000000-0008-0000-0B00-0000B9000000}"/>
            </a:ext>
          </a:extLst>
        </xdr:cNvPr>
        <xdr:cNvSpPr>
          <a:spLocks noChangeShapeType="1"/>
        </xdr:cNvSpPr>
      </xdr:nvSpPr>
      <xdr:spPr bwMode="auto">
        <a:xfrm>
          <a:off x="495300" y="42195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31</xdr:row>
      <xdr:rowOff>0</xdr:rowOff>
    </xdr:from>
    <xdr:to>
      <xdr:col>7</xdr:col>
      <xdr:colOff>9525</xdr:colOff>
      <xdr:row>31</xdr:row>
      <xdr:rowOff>0</xdr:rowOff>
    </xdr:to>
    <xdr:sp macro="" textlink="">
      <xdr:nvSpPr>
        <xdr:cNvPr id="186" name="Line 110">
          <a:extLst>
            <a:ext uri="{FF2B5EF4-FFF2-40B4-BE49-F238E27FC236}">
              <a16:creationId xmlns:a16="http://schemas.microsoft.com/office/drawing/2014/main" id="{00000000-0008-0000-0B00-0000BA000000}"/>
            </a:ext>
          </a:extLst>
        </xdr:cNvPr>
        <xdr:cNvSpPr>
          <a:spLocks noChangeShapeType="1"/>
        </xdr:cNvSpPr>
      </xdr:nvSpPr>
      <xdr:spPr bwMode="auto">
        <a:xfrm>
          <a:off x="1066800" y="42195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31</xdr:row>
      <xdr:rowOff>0</xdr:rowOff>
    </xdr:from>
    <xdr:to>
      <xdr:col>8</xdr:col>
      <xdr:colOff>9525</xdr:colOff>
      <xdr:row>31</xdr:row>
      <xdr:rowOff>0</xdr:rowOff>
    </xdr:to>
    <xdr:sp macro="" textlink="">
      <xdr:nvSpPr>
        <xdr:cNvPr id="187" name="Line 111">
          <a:extLst>
            <a:ext uri="{FF2B5EF4-FFF2-40B4-BE49-F238E27FC236}">
              <a16:creationId xmlns:a16="http://schemas.microsoft.com/office/drawing/2014/main" id="{00000000-0008-0000-0B00-0000BB000000}"/>
            </a:ext>
          </a:extLst>
        </xdr:cNvPr>
        <xdr:cNvSpPr>
          <a:spLocks noChangeShapeType="1"/>
        </xdr:cNvSpPr>
      </xdr:nvSpPr>
      <xdr:spPr bwMode="auto">
        <a:xfrm>
          <a:off x="1733550" y="42195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31</xdr:row>
      <xdr:rowOff>0</xdr:rowOff>
    </xdr:from>
    <xdr:to>
      <xdr:col>9</xdr:col>
      <xdr:colOff>9525</xdr:colOff>
      <xdr:row>31</xdr:row>
      <xdr:rowOff>0</xdr:rowOff>
    </xdr:to>
    <xdr:sp macro="" textlink="">
      <xdr:nvSpPr>
        <xdr:cNvPr id="188" name="Line 112">
          <a:extLst>
            <a:ext uri="{FF2B5EF4-FFF2-40B4-BE49-F238E27FC236}">
              <a16:creationId xmlns:a16="http://schemas.microsoft.com/office/drawing/2014/main" id="{00000000-0008-0000-0B00-0000BC000000}"/>
            </a:ext>
          </a:extLst>
        </xdr:cNvPr>
        <xdr:cNvSpPr>
          <a:spLocks noChangeShapeType="1"/>
        </xdr:cNvSpPr>
      </xdr:nvSpPr>
      <xdr:spPr bwMode="auto">
        <a:xfrm>
          <a:off x="2400300" y="42195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31</xdr:row>
      <xdr:rowOff>0</xdr:rowOff>
    </xdr:from>
    <xdr:to>
      <xdr:col>10</xdr:col>
      <xdr:colOff>9525</xdr:colOff>
      <xdr:row>31</xdr:row>
      <xdr:rowOff>0</xdr:rowOff>
    </xdr:to>
    <xdr:sp macro="" textlink="">
      <xdr:nvSpPr>
        <xdr:cNvPr id="189" name="Line 113">
          <a:extLst>
            <a:ext uri="{FF2B5EF4-FFF2-40B4-BE49-F238E27FC236}">
              <a16:creationId xmlns:a16="http://schemas.microsoft.com/office/drawing/2014/main" id="{00000000-0008-0000-0B00-0000BD000000}"/>
            </a:ext>
          </a:extLst>
        </xdr:cNvPr>
        <xdr:cNvSpPr>
          <a:spLocks noChangeShapeType="1"/>
        </xdr:cNvSpPr>
      </xdr:nvSpPr>
      <xdr:spPr bwMode="auto">
        <a:xfrm>
          <a:off x="3067050" y="42195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31</xdr:row>
      <xdr:rowOff>0</xdr:rowOff>
    </xdr:from>
    <xdr:to>
      <xdr:col>11</xdr:col>
      <xdr:colOff>9525</xdr:colOff>
      <xdr:row>31</xdr:row>
      <xdr:rowOff>0</xdr:rowOff>
    </xdr:to>
    <xdr:sp macro="" textlink="">
      <xdr:nvSpPr>
        <xdr:cNvPr id="190" name="Line 114">
          <a:extLst>
            <a:ext uri="{FF2B5EF4-FFF2-40B4-BE49-F238E27FC236}">
              <a16:creationId xmlns:a16="http://schemas.microsoft.com/office/drawing/2014/main" id="{00000000-0008-0000-0B00-0000BE000000}"/>
            </a:ext>
          </a:extLst>
        </xdr:cNvPr>
        <xdr:cNvSpPr>
          <a:spLocks noChangeShapeType="1"/>
        </xdr:cNvSpPr>
      </xdr:nvSpPr>
      <xdr:spPr bwMode="auto">
        <a:xfrm>
          <a:off x="3571875" y="42195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31</xdr:row>
      <xdr:rowOff>0</xdr:rowOff>
    </xdr:from>
    <xdr:to>
      <xdr:col>12</xdr:col>
      <xdr:colOff>9525</xdr:colOff>
      <xdr:row>31</xdr:row>
      <xdr:rowOff>0</xdr:rowOff>
    </xdr:to>
    <xdr:sp macro="" textlink="">
      <xdr:nvSpPr>
        <xdr:cNvPr id="191" name="Line 115">
          <a:extLst>
            <a:ext uri="{FF2B5EF4-FFF2-40B4-BE49-F238E27FC236}">
              <a16:creationId xmlns:a16="http://schemas.microsoft.com/office/drawing/2014/main" id="{00000000-0008-0000-0B00-0000BF000000}"/>
            </a:ext>
          </a:extLst>
        </xdr:cNvPr>
        <xdr:cNvSpPr>
          <a:spLocks noChangeShapeType="1"/>
        </xdr:cNvSpPr>
      </xdr:nvSpPr>
      <xdr:spPr bwMode="auto">
        <a:xfrm>
          <a:off x="4238625" y="421957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31</xdr:row>
      <xdr:rowOff>0</xdr:rowOff>
    </xdr:from>
    <xdr:to>
      <xdr:col>13</xdr:col>
      <xdr:colOff>9525</xdr:colOff>
      <xdr:row>31</xdr:row>
      <xdr:rowOff>0</xdr:rowOff>
    </xdr:to>
    <xdr:sp macro="" textlink="">
      <xdr:nvSpPr>
        <xdr:cNvPr id="192" name="Line 116">
          <a:extLst>
            <a:ext uri="{FF2B5EF4-FFF2-40B4-BE49-F238E27FC236}">
              <a16:creationId xmlns:a16="http://schemas.microsoft.com/office/drawing/2014/main" id="{00000000-0008-0000-0B00-0000C0000000}"/>
            </a:ext>
          </a:extLst>
        </xdr:cNvPr>
        <xdr:cNvSpPr>
          <a:spLocks noChangeShapeType="1"/>
        </xdr:cNvSpPr>
      </xdr:nvSpPr>
      <xdr:spPr bwMode="auto">
        <a:xfrm>
          <a:off x="4848225" y="421957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31</xdr:row>
      <xdr:rowOff>0</xdr:rowOff>
    </xdr:from>
    <xdr:to>
      <xdr:col>14</xdr:col>
      <xdr:colOff>9525</xdr:colOff>
      <xdr:row>31</xdr:row>
      <xdr:rowOff>0</xdr:rowOff>
    </xdr:to>
    <xdr:sp macro="" textlink="">
      <xdr:nvSpPr>
        <xdr:cNvPr id="193" name="Line 117">
          <a:extLst>
            <a:ext uri="{FF2B5EF4-FFF2-40B4-BE49-F238E27FC236}">
              <a16:creationId xmlns:a16="http://schemas.microsoft.com/office/drawing/2014/main" id="{00000000-0008-0000-0B00-0000C1000000}"/>
            </a:ext>
          </a:extLst>
        </xdr:cNvPr>
        <xdr:cNvSpPr>
          <a:spLocks noChangeShapeType="1"/>
        </xdr:cNvSpPr>
      </xdr:nvSpPr>
      <xdr:spPr bwMode="auto">
        <a:xfrm>
          <a:off x="5524500" y="42195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34</xdr:row>
      <xdr:rowOff>0</xdr:rowOff>
    </xdr:from>
    <xdr:to>
      <xdr:col>6</xdr:col>
      <xdr:colOff>9525</xdr:colOff>
      <xdr:row>34</xdr:row>
      <xdr:rowOff>0</xdr:rowOff>
    </xdr:to>
    <xdr:sp macro="" textlink="">
      <xdr:nvSpPr>
        <xdr:cNvPr id="194" name="Line 118">
          <a:extLst>
            <a:ext uri="{FF2B5EF4-FFF2-40B4-BE49-F238E27FC236}">
              <a16:creationId xmlns:a16="http://schemas.microsoft.com/office/drawing/2014/main" id="{00000000-0008-0000-0B00-0000C2000000}"/>
            </a:ext>
          </a:extLst>
        </xdr:cNvPr>
        <xdr:cNvSpPr>
          <a:spLocks noChangeShapeType="1"/>
        </xdr:cNvSpPr>
      </xdr:nvSpPr>
      <xdr:spPr bwMode="auto">
        <a:xfrm>
          <a:off x="495300" y="46196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34</xdr:row>
      <xdr:rowOff>0</xdr:rowOff>
    </xdr:from>
    <xdr:to>
      <xdr:col>7</xdr:col>
      <xdr:colOff>9525</xdr:colOff>
      <xdr:row>34</xdr:row>
      <xdr:rowOff>0</xdr:rowOff>
    </xdr:to>
    <xdr:sp macro="" textlink="">
      <xdr:nvSpPr>
        <xdr:cNvPr id="195" name="Line 119">
          <a:extLst>
            <a:ext uri="{FF2B5EF4-FFF2-40B4-BE49-F238E27FC236}">
              <a16:creationId xmlns:a16="http://schemas.microsoft.com/office/drawing/2014/main" id="{00000000-0008-0000-0B00-0000C3000000}"/>
            </a:ext>
          </a:extLst>
        </xdr:cNvPr>
        <xdr:cNvSpPr>
          <a:spLocks noChangeShapeType="1"/>
        </xdr:cNvSpPr>
      </xdr:nvSpPr>
      <xdr:spPr bwMode="auto">
        <a:xfrm>
          <a:off x="1066800" y="46196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34</xdr:row>
      <xdr:rowOff>0</xdr:rowOff>
    </xdr:from>
    <xdr:to>
      <xdr:col>8</xdr:col>
      <xdr:colOff>9525</xdr:colOff>
      <xdr:row>34</xdr:row>
      <xdr:rowOff>0</xdr:rowOff>
    </xdr:to>
    <xdr:sp macro="" textlink="">
      <xdr:nvSpPr>
        <xdr:cNvPr id="196" name="Line 120">
          <a:extLst>
            <a:ext uri="{FF2B5EF4-FFF2-40B4-BE49-F238E27FC236}">
              <a16:creationId xmlns:a16="http://schemas.microsoft.com/office/drawing/2014/main" id="{00000000-0008-0000-0B00-0000C4000000}"/>
            </a:ext>
          </a:extLst>
        </xdr:cNvPr>
        <xdr:cNvSpPr>
          <a:spLocks noChangeShapeType="1"/>
        </xdr:cNvSpPr>
      </xdr:nvSpPr>
      <xdr:spPr bwMode="auto">
        <a:xfrm>
          <a:off x="1733550" y="46196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34</xdr:row>
      <xdr:rowOff>0</xdr:rowOff>
    </xdr:from>
    <xdr:to>
      <xdr:col>9</xdr:col>
      <xdr:colOff>9525</xdr:colOff>
      <xdr:row>34</xdr:row>
      <xdr:rowOff>0</xdr:rowOff>
    </xdr:to>
    <xdr:sp macro="" textlink="">
      <xdr:nvSpPr>
        <xdr:cNvPr id="197" name="Line 121">
          <a:extLst>
            <a:ext uri="{FF2B5EF4-FFF2-40B4-BE49-F238E27FC236}">
              <a16:creationId xmlns:a16="http://schemas.microsoft.com/office/drawing/2014/main" id="{00000000-0008-0000-0B00-0000C5000000}"/>
            </a:ext>
          </a:extLst>
        </xdr:cNvPr>
        <xdr:cNvSpPr>
          <a:spLocks noChangeShapeType="1"/>
        </xdr:cNvSpPr>
      </xdr:nvSpPr>
      <xdr:spPr bwMode="auto">
        <a:xfrm>
          <a:off x="2400300" y="46196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34</xdr:row>
      <xdr:rowOff>0</xdr:rowOff>
    </xdr:from>
    <xdr:to>
      <xdr:col>10</xdr:col>
      <xdr:colOff>9525</xdr:colOff>
      <xdr:row>34</xdr:row>
      <xdr:rowOff>0</xdr:rowOff>
    </xdr:to>
    <xdr:sp macro="" textlink="">
      <xdr:nvSpPr>
        <xdr:cNvPr id="198" name="Line 122">
          <a:extLst>
            <a:ext uri="{FF2B5EF4-FFF2-40B4-BE49-F238E27FC236}">
              <a16:creationId xmlns:a16="http://schemas.microsoft.com/office/drawing/2014/main" id="{00000000-0008-0000-0B00-0000C6000000}"/>
            </a:ext>
          </a:extLst>
        </xdr:cNvPr>
        <xdr:cNvSpPr>
          <a:spLocks noChangeShapeType="1"/>
        </xdr:cNvSpPr>
      </xdr:nvSpPr>
      <xdr:spPr bwMode="auto">
        <a:xfrm>
          <a:off x="3067050" y="46196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34</xdr:row>
      <xdr:rowOff>0</xdr:rowOff>
    </xdr:from>
    <xdr:to>
      <xdr:col>11</xdr:col>
      <xdr:colOff>9525</xdr:colOff>
      <xdr:row>34</xdr:row>
      <xdr:rowOff>0</xdr:rowOff>
    </xdr:to>
    <xdr:sp macro="" textlink="">
      <xdr:nvSpPr>
        <xdr:cNvPr id="199" name="Line 123">
          <a:extLst>
            <a:ext uri="{FF2B5EF4-FFF2-40B4-BE49-F238E27FC236}">
              <a16:creationId xmlns:a16="http://schemas.microsoft.com/office/drawing/2014/main" id="{00000000-0008-0000-0B00-0000C7000000}"/>
            </a:ext>
          </a:extLst>
        </xdr:cNvPr>
        <xdr:cNvSpPr>
          <a:spLocks noChangeShapeType="1"/>
        </xdr:cNvSpPr>
      </xdr:nvSpPr>
      <xdr:spPr bwMode="auto">
        <a:xfrm>
          <a:off x="3571875" y="46196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34</xdr:row>
      <xdr:rowOff>0</xdr:rowOff>
    </xdr:from>
    <xdr:to>
      <xdr:col>12</xdr:col>
      <xdr:colOff>9525</xdr:colOff>
      <xdr:row>34</xdr:row>
      <xdr:rowOff>0</xdr:rowOff>
    </xdr:to>
    <xdr:sp macro="" textlink="">
      <xdr:nvSpPr>
        <xdr:cNvPr id="200" name="Line 124">
          <a:extLst>
            <a:ext uri="{FF2B5EF4-FFF2-40B4-BE49-F238E27FC236}">
              <a16:creationId xmlns:a16="http://schemas.microsoft.com/office/drawing/2014/main" id="{00000000-0008-0000-0B00-0000C8000000}"/>
            </a:ext>
          </a:extLst>
        </xdr:cNvPr>
        <xdr:cNvSpPr>
          <a:spLocks noChangeShapeType="1"/>
        </xdr:cNvSpPr>
      </xdr:nvSpPr>
      <xdr:spPr bwMode="auto">
        <a:xfrm>
          <a:off x="4238625" y="4619625"/>
          <a:ext cx="6096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34</xdr:row>
      <xdr:rowOff>0</xdr:rowOff>
    </xdr:from>
    <xdr:to>
      <xdr:col>13</xdr:col>
      <xdr:colOff>9525</xdr:colOff>
      <xdr:row>34</xdr:row>
      <xdr:rowOff>0</xdr:rowOff>
    </xdr:to>
    <xdr:sp macro="" textlink="">
      <xdr:nvSpPr>
        <xdr:cNvPr id="201" name="Line 125">
          <a:extLst>
            <a:ext uri="{FF2B5EF4-FFF2-40B4-BE49-F238E27FC236}">
              <a16:creationId xmlns:a16="http://schemas.microsoft.com/office/drawing/2014/main" id="{00000000-0008-0000-0B00-0000C9000000}"/>
            </a:ext>
          </a:extLst>
        </xdr:cNvPr>
        <xdr:cNvSpPr>
          <a:spLocks noChangeShapeType="1"/>
        </xdr:cNvSpPr>
      </xdr:nvSpPr>
      <xdr:spPr bwMode="auto">
        <a:xfrm>
          <a:off x="4848225" y="4619625"/>
          <a:ext cx="6762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34</xdr:row>
      <xdr:rowOff>0</xdr:rowOff>
    </xdr:from>
    <xdr:to>
      <xdr:col>14</xdr:col>
      <xdr:colOff>9525</xdr:colOff>
      <xdr:row>34</xdr:row>
      <xdr:rowOff>0</xdr:rowOff>
    </xdr:to>
    <xdr:sp macro="" textlink="">
      <xdr:nvSpPr>
        <xdr:cNvPr id="202" name="Line 126">
          <a:extLst>
            <a:ext uri="{FF2B5EF4-FFF2-40B4-BE49-F238E27FC236}">
              <a16:creationId xmlns:a16="http://schemas.microsoft.com/office/drawing/2014/main" id="{00000000-0008-0000-0B00-0000CA000000}"/>
            </a:ext>
          </a:extLst>
        </xdr:cNvPr>
        <xdr:cNvSpPr>
          <a:spLocks noChangeShapeType="1"/>
        </xdr:cNvSpPr>
      </xdr:nvSpPr>
      <xdr:spPr bwMode="auto">
        <a:xfrm>
          <a:off x="5524500" y="46196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xdr:row>
      <xdr:rowOff>0</xdr:rowOff>
    </xdr:from>
    <xdr:to>
      <xdr:col>1</xdr:col>
      <xdr:colOff>19050</xdr:colOff>
      <xdr:row>8</xdr:row>
      <xdr:rowOff>0</xdr:rowOff>
    </xdr:to>
    <xdr:sp macro="" textlink="">
      <xdr:nvSpPr>
        <xdr:cNvPr id="2" name="Line 17">
          <a:extLst>
            <a:ext uri="{FF2B5EF4-FFF2-40B4-BE49-F238E27FC236}">
              <a16:creationId xmlns:a16="http://schemas.microsoft.com/office/drawing/2014/main" id="{00000000-0008-0000-0C00-000002000000}"/>
            </a:ext>
          </a:extLst>
        </xdr:cNvPr>
        <xdr:cNvSpPr>
          <a:spLocks noChangeShapeType="1"/>
        </xdr:cNvSpPr>
      </xdr:nvSpPr>
      <xdr:spPr bwMode="auto">
        <a:xfrm>
          <a:off x="28575" y="1809750"/>
          <a:ext cx="4762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2</xdr:row>
      <xdr:rowOff>0</xdr:rowOff>
    </xdr:from>
    <xdr:to>
      <xdr:col>2</xdr:col>
      <xdr:colOff>28575</xdr:colOff>
      <xdr:row>2</xdr:row>
      <xdr:rowOff>0</xdr:rowOff>
    </xdr:to>
    <xdr:sp macro="" textlink="">
      <xdr:nvSpPr>
        <xdr:cNvPr id="3" name="Line 28">
          <a:extLst>
            <a:ext uri="{FF2B5EF4-FFF2-40B4-BE49-F238E27FC236}">
              <a16:creationId xmlns:a16="http://schemas.microsoft.com/office/drawing/2014/main" id="{00000000-0008-0000-0C00-000003000000}"/>
            </a:ext>
          </a:extLst>
        </xdr:cNvPr>
        <xdr:cNvSpPr>
          <a:spLocks noChangeShapeType="1"/>
        </xdr:cNvSpPr>
      </xdr:nvSpPr>
      <xdr:spPr bwMode="auto">
        <a:xfrm>
          <a:off x="504825" y="657225"/>
          <a:ext cx="2190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2</xdr:row>
      <xdr:rowOff>0</xdr:rowOff>
    </xdr:from>
    <xdr:to>
      <xdr:col>3</xdr:col>
      <xdr:colOff>9525</xdr:colOff>
      <xdr:row>2</xdr:row>
      <xdr:rowOff>0</xdr:rowOff>
    </xdr:to>
    <xdr:sp macro="" textlink="">
      <xdr:nvSpPr>
        <xdr:cNvPr id="4" name="Line 29">
          <a:extLst>
            <a:ext uri="{FF2B5EF4-FFF2-40B4-BE49-F238E27FC236}">
              <a16:creationId xmlns:a16="http://schemas.microsoft.com/office/drawing/2014/main" id="{00000000-0008-0000-0C00-000004000000}"/>
            </a:ext>
          </a:extLst>
        </xdr:cNvPr>
        <xdr:cNvSpPr>
          <a:spLocks noChangeShapeType="1"/>
        </xdr:cNvSpPr>
      </xdr:nvSpPr>
      <xdr:spPr bwMode="auto">
        <a:xfrm>
          <a:off x="2695575" y="657225"/>
          <a:ext cx="26860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xdr:row>
      <xdr:rowOff>0</xdr:rowOff>
    </xdr:from>
    <xdr:to>
      <xdr:col>4</xdr:col>
      <xdr:colOff>9525</xdr:colOff>
      <xdr:row>2</xdr:row>
      <xdr:rowOff>0</xdr:rowOff>
    </xdr:to>
    <xdr:sp macro="" textlink="">
      <xdr:nvSpPr>
        <xdr:cNvPr id="5" name="Line 30">
          <a:extLst>
            <a:ext uri="{FF2B5EF4-FFF2-40B4-BE49-F238E27FC236}">
              <a16:creationId xmlns:a16="http://schemas.microsoft.com/office/drawing/2014/main" id="{00000000-0008-0000-0C00-000005000000}"/>
            </a:ext>
          </a:extLst>
        </xdr:cNvPr>
        <xdr:cNvSpPr>
          <a:spLocks noChangeShapeType="1"/>
        </xdr:cNvSpPr>
      </xdr:nvSpPr>
      <xdr:spPr bwMode="auto">
        <a:xfrm>
          <a:off x="5381625" y="657225"/>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8</xdr:row>
      <xdr:rowOff>0</xdr:rowOff>
    </xdr:from>
    <xdr:to>
      <xdr:col>2</xdr:col>
      <xdr:colOff>28575</xdr:colOff>
      <xdr:row>8</xdr:row>
      <xdr:rowOff>0</xdr:rowOff>
    </xdr:to>
    <xdr:sp macro="" textlink="">
      <xdr:nvSpPr>
        <xdr:cNvPr id="6" name="Line 31">
          <a:extLst>
            <a:ext uri="{FF2B5EF4-FFF2-40B4-BE49-F238E27FC236}">
              <a16:creationId xmlns:a16="http://schemas.microsoft.com/office/drawing/2014/main" id="{00000000-0008-0000-0C00-000006000000}"/>
            </a:ext>
          </a:extLst>
        </xdr:cNvPr>
        <xdr:cNvSpPr>
          <a:spLocks noChangeShapeType="1"/>
        </xdr:cNvSpPr>
      </xdr:nvSpPr>
      <xdr:spPr bwMode="auto">
        <a:xfrm>
          <a:off x="504825" y="1809750"/>
          <a:ext cx="2190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8</xdr:row>
      <xdr:rowOff>0</xdr:rowOff>
    </xdr:from>
    <xdr:to>
      <xdr:col>3</xdr:col>
      <xdr:colOff>9525</xdr:colOff>
      <xdr:row>8</xdr:row>
      <xdr:rowOff>0</xdr:rowOff>
    </xdr:to>
    <xdr:sp macro="" textlink="">
      <xdr:nvSpPr>
        <xdr:cNvPr id="7" name="Line 32">
          <a:extLst>
            <a:ext uri="{FF2B5EF4-FFF2-40B4-BE49-F238E27FC236}">
              <a16:creationId xmlns:a16="http://schemas.microsoft.com/office/drawing/2014/main" id="{00000000-0008-0000-0C00-000007000000}"/>
            </a:ext>
          </a:extLst>
        </xdr:cNvPr>
        <xdr:cNvSpPr>
          <a:spLocks noChangeShapeType="1"/>
        </xdr:cNvSpPr>
      </xdr:nvSpPr>
      <xdr:spPr bwMode="auto">
        <a:xfrm>
          <a:off x="2695575" y="1809750"/>
          <a:ext cx="26860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8</xdr:row>
      <xdr:rowOff>0</xdr:rowOff>
    </xdr:from>
    <xdr:to>
      <xdr:col>4</xdr:col>
      <xdr:colOff>9525</xdr:colOff>
      <xdr:row>8</xdr:row>
      <xdr:rowOff>0</xdr:rowOff>
    </xdr:to>
    <xdr:sp macro="" textlink="">
      <xdr:nvSpPr>
        <xdr:cNvPr id="8" name="Line 33">
          <a:extLst>
            <a:ext uri="{FF2B5EF4-FFF2-40B4-BE49-F238E27FC236}">
              <a16:creationId xmlns:a16="http://schemas.microsoft.com/office/drawing/2014/main" id="{00000000-0008-0000-0C00-000008000000}"/>
            </a:ext>
          </a:extLst>
        </xdr:cNvPr>
        <xdr:cNvSpPr>
          <a:spLocks noChangeShapeType="1"/>
        </xdr:cNvSpPr>
      </xdr:nvSpPr>
      <xdr:spPr bwMode="auto">
        <a:xfrm>
          <a:off x="5381625" y="1809750"/>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13</xdr:row>
      <xdr:rowOff>0</xdr:rowOff>
    </xdr:from>
    <xdr:to>
      <xdr:col>2</xdr:col>
      <xdr:colOff>28575</xdr:colOff>
      <xdr:row>13</xdr:row>
      <xdr:rowOff>0</xdr:rowOff>
    </xdr:to>
    <xdr:sp macro="" textlink="">
      <xdr:nvSpPr>
        <xdr:cNvPr id="9" name="Line 34">
          <a:extLst>
            <a:ext uri="{FF2B5EF4-FFF2-40B4-BE49-F238E27FC236}">
              <a16:creationId xmlns:a16="http://schemas.microsoft.com/office/drawing/2014/main" id="{00000000-0008-0000-0C00-000009000000}"/>
            </a:ext>
          </a:extLst>
        </xdr:cNvPr>
        <xdr:cNvSpPr>
          <a:spLocks noChangeShapeType="1"/>
        </xdr:cNvSpPr>
      </xdr:nvSpPr>
      <xdr:spPr bwMode="auto">
        <a:xfrm>
          <a:off x="504825" y="2495550"/>
          <a:ext cx="2190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13</xdr:row>
      <xdr:rowOff>0</xdr:rowOff>
    </xdr:from>
    <xdr:to>
      <xdr:col>3</xdr:col>
      <xdr:colOff>9525</xdr:colOff>
      <xdr:row>13</xdr:row>
      <xdr:rowOff>0</xdr:rowOff>
    </xdr:to>
    <xdr:sp macro="" textlink="">
      <xdr:nvSpPr>
        <xdr:cNvPr id="10" name="Line 35">
          <a:extLst>
            <a:ext uri="{FF2B5EF4-FFF2-40B4-BE49-F238E27FC236}">
              <a16:creationId xmlns:a16="http://schemas.microsoft.com/office/drawing/2014/main" id="{00000000-0008-0000-0C00-00000A000000}"/>
            </a:ext>
          </a:extLst>
        </xdr:cNvPr>
        <xdr:cNvSpPr>
          <a:spLocks noChangeShapeType="1"/>
        </xdr:cNvSpPr>
      </xdr:nvSpPr>
      <xdr:spPr bwMode="auto">
        <a:xfrm>
          <a:off x="2695575" y="249555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13</xdr:row>
      <xdr:rowOff>0</xdr:rowOff>
    </xdr:from>
    <xdr:to>
      <xdr:col>4</xdr:col>
      <xdr:colOff>9525</xdr:colOff>
      <xdr:row>13</xdr:row>
      <xdr:rowOff>0</xdr:rowOff>
    </xdr:to>
    <xdr:sp macro="" textlink="">
      <xdr:nvSpPr>
        <xdr:cNvPr id="11" name="Line 36">
          <a:extLst>
            <a:ext uri="{FF2B5EF4-FFF2-40B4-BE49-F238E27FC236}">
              <a16:creationId xmlns:a16="http://schemas.microsoft.com/office/drawing/2014/main" id="{00000000-0008-0000-0C00-00000B000000}"/>
            </a:ext>
          </a:extLst>
        </xdr:cNvPr>
        <xdr:cNvSpPr>
          <a:spLocks noChangeShapeType="1"/>
        </xdr:cNvSpPr>
      </xdr:nvSpPr>
      <xdr:spPr bwMode="auto">
        <a:xfrm>
          <a:off x="5381625" y="24955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15</xdr:row>
      <xdr:rowOff>0</xdr:rowOff>
    </xdr:from>
    <xdr:to>
      <xdr:col>2</xdr:col>
      <xdr:colOff>28575</xdr:colOff>
      <xdr:row>15</xdr:row>
      <xdr:rowOff>0</xdr:rowOff>
    </xdr:to>
    <xdr:sp macro="" textlink="">
      <xdr:nvSpPr>
        <xdr:cNvPr id="12" name="Line 37">
          <a:extLst>
            <a:ext uri="{FF2B5EF4-FFF2-40B4-BE49-F238E27FC236}">
              <a16:creationId xmlns:a16="http://schemas.microsoft.com/office/drawing/2014/main" id="{00000000-0008-0000-0C00-00000C000000}"/>
            </a:ext>
          </a:extLst>
        </xdr:cNvPr>
        <xdr:cNvSpPr>
          <a:spLocks noChangeShapeType="1"/>
        </xdr:cNvSpPr>
      </xdr:nvSpPr>
      <xdr:spPr bwMode="auto">
        <a:xfrm>
          <a:off x="504825" y="2762250"/>
          <a:ext cx="2190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15</xdr:row>
      <xdr:rowOff>0</xdr:rowOff>
    </xdr:from>
    <xdr:to>
      <xdr:col>3</xdr:col>
      <xdr:colOff>9525</xdr:colOff>
      <xdr:row>15</xdr:row>
      <xdr:rowOff>0</xdr:rowOff>
    </xdr:to>
    <xdr:sp macro="" textlink="">
      <xdr:nvSpPr>
        <xdr:cNvPr id="13" name="Line 38">
          <a:extLst>
            <a:ext uri="{FF2B5EF4-FFF2-40B4-BE49-F238E27FC236}">
              <a16:creationId xmlns:a16="http://schemas.microsoft.com/office/drawing/2014/main" id="{00000000-0008-0000-0C00-00000D000000}"/>
            </a:ext>
          </a:extLst>
        </xdr:cNvPr>
        <xdr:cNvSpPr>
          <a:spLocks noChangeShapeType="1"/>
        </xdr:cNvSpPr>
      </xdr:nvSpPr>
      <xdr:spPr bwMode="auto">
        <a:xfrm>
          <a:off x="2695575" y="276225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15</xdr:row>
      <xdr:rowOff>0</xdr:rowOff>
    </xdr:from>
    <xdr:to>
      <xdr:col>4</xdr:col>
      <xdr:colOff>9525</xdr:colOff>
      <xdr:row>15</xdr:row>
      <xdr:rowOff>0</xdr:rowOff>
    </xdr:to>
    <xdr:sp macro="" textlink="">
      <xdr:nvSpPr>
        <xdr:cNvPr id="14" name="Line 39">
          <a:extLst>
            <a:ext uri="{FF2B5EF4-FFF2-40B4-BE49-F238E27FC236}">
              <a16:creationId xmlns:a16="http://schemas.microsoft.com/office/drawing/2014/main" id="{00000000-0008-0000-0C00-00000E000000}"/>
            </a:ext>
          </a:extLst>
        </xdr:cNvPr>
        <xdr:cNvSpPr>
          <a:spLocks noChangeShapeType="1"/>
        </xdr:cNvSpPr>
      </xdr:nvSpPr>
      <xdr:spPr bwMode="auto">
        <a:xfrm>
          <a:off x="5381625" y="27622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18</xdr:row>
      <xdr:rowOff>0</xdr:rowOff>
    </xdr:from>
    <xdr:to>
      <xdr:col>2</xdr:col>
      <xdr:colOff>28575</xdr:colOff>
      <xdr:row>18</xdr:row>
      <xdr:rowOff>0</xdr:rowOff>
    </xdr:to>
    <xdr:sp macro="" textlink="">
      <xdr:nvSpPr>
        <xdr:cNvPr id="15" name="Line 40">
          <a:extLst>
            <a:ext uri="{FF2B5EF4-FFF2-40B4-BE49-F238E27FC236}">
              <a16:creationId xmlns:a16="http://schemas.microsoft.com/office/drawing/2014/main" id="{00000000-0008-0000-0C00-00000F000000}"/>
            </a:ext>
          </a:extLst>
        </xdr:cNvPr>
        <xdr:cNvSpPr>
          <a:spLocks noChangeShapeType="1"/>
        </xdr:cNvSpPr>
      </xdr:nvSpPr>
      <xdr:spPr bwMode="auto">
        <a:xfrm>
          <a:off x="504825" y="3162300"/>
          <a:ext cx="2190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18</xdr:row>
      <xdr:rowOff>0</xdr:rowOff>
    </xdr:from>
    <xdr:to>
      <xdr:col>3</xdr:col>
      <xdr:colOff>9525</xdr:colOff>
      <xdr:row>18</xdr:row>
      <xdr:rowOff>0</xdr:rowOff>
    </xdr:to>
    <xdr:sp macro="" textlink="">
      <xdr:nvSpPr>
        <xdr:cNvPr id="16" name="Line 41">
          <a:extLst>
            <a:ext uri="{FF2B5EF4-FFF2-40B4-BE49-F238E27FC236}">
              <a16:creationId xmlns:a16="http://schemas.microsoft.com/office/drawing/2014/main" id="{00000000-0008-0000-0C00-000010000000}"/>
            </a:ext>
          </a:extLst>
        </xdr:cNvPr>
        <xdr:cNvSpPr>
          <a:spLocks noChangeShapeType="1"/>
        </xdr:cNvSpPr>
      </xdr:nvSpPr>
      <xdr:spPr bwMode="auto">
        <a:xfrm>
          <a:off x="2695575" y="316230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18</xdr:row>
      <xdr:rowOff>0</xdr:rowOff>
    </xdr:from>
    <xdr:to>
      <xdr:col>4</xdr:col>
      <xdr:colOff>9525</xdr:colOff>
      <xdr:row>18</xdr:row>
      <xdr:rowOff>0</xdr:rowOff>
    </xdr:to>
    <xdr:sp macro="" textlink="">
      <xdr:nvSpPr>
        <xdr:cNvPr id="17" name="Line 42">
          <a:extLst>
            <a:ext uri="{FF2B5EF4-FFF2-40B4-BE49-F238E27FC236}">
              <a16:creationId xmlns:a16="http://schemas.microsoft.com/office/drawing/2014/main" id="{00000000-0008-0000-0C00-000011000000}"/>
            </a:ext>
          </a:extLst>
        </xdr:cNvPr>
        <xdr:cNvSpPr>
          <a:spLocks noChangeShapeType="1"/>
        </xdr:cNvSpPr>
      </xdr:nvSpPr>
      <xdr:spPr bwMode="auto">
        <a:xfrm>
          <a:off x="5381625" y="316230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19</xdr:row>
      <xdr:rowOff>0</xdr:rowOff>
    </xdr:from>
    <xdr:to>
      <xdr:col>2</xdr:col>
      <xdr:colOff>28575</xdr:colOff>
      <xdr:row>19</xdr:row>
      <xdr:rowOff>0</xdr:rowOff>
    </xdr:to>
    <xdr:sp macro="" textlink="">
      <xdr:nvSpPr>
        <xdr:cNvPr id="18" name="Line 43">
          <a:extLst>
            <a:ext uri="{FF2B5EF4-FFF2-40B4-BE49-F238E27FC236}">
              <a16:creationId xmlns:a16="http://schemas.microsoft.com/office/drawing/2014/main" id="{00000000-0008-0000-0C00-000012000000}"/>
            </a:ext>
          </a:extLst>
        </xdr:cNvPr>
        <xdr:cNvSpPr>
          <a:spLocks noChangeShapeType="1"/>
        </xdr:cNvSpPr>
      </xdr:nvSpPr>
      <xdr:spPr bwMode="auto">
        <a:xfrm>
          <a:off x="504825" y="3295650"/>
          <a:ext cx="2190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19</xdr:row>
      <xdr:rowOff>0</xdr:rowOff>
    </xdr:from>
    <xdr:to>
      <xdr:col>3</xdr:col>
      <xdr:colOff>9525</xdr:colOff>
      <xdr:row>19</xdr:row>
      <xdr:rowOff>0</xdr:rowOff>
    </xdr:to>
    <xdr:sp macro="" textlink="">
      <xdr:nvSpPr>
        <xdr:cNvPr id="19" name="Line 44">
          <a:extLst>
            <a:ext uri="{FF2B5EF4-FFF2-40B4-BE49-F238E27FC236}">
              <a16:creationId xmlns:a16="http://schemas.microsoft.com/office/drawing/2014/main" id="{00000000-0008-0000-0C00-000013000000}"/>
            </a:ext>
          </a:extLst>
        </xdr:cNvPr>
        <xdr:cNvSpPr>
          <a:spLocks noChangeShapeType="1"/>
        </xdr:cNvSpPr>
      </xdr:nvSpPr>
      <xdr:spPr bwMode="auto">
        <a:xfrm>
          <a:off x="2695575" y="329565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19</xdr:row>
      <xdr:rowOff>0</xdr:rowOff>
    </xdr:from>
    <xdr:to>
      <xdr:col>4</xdr:col>
      <xdr:colOff>9525</xdr:colOff>
      <xdr:row>19</xdr:row>
      <xdr:rowOff>0</xdr:rowOff>
    </xdr:to>
    <xdr:sp macro="" textlink="">
      <xdr:nvSpPr>
        <xdr:cNvPr id="20" name="Line 45">
          <a:extLst>
            <a:ext uri="{FF2B5EF4-FFF2-40B4-BE49-F238E27FC236}">
              <a16:creationId xmlns:a16="http://schemas.microsoft.com/office/drawing/2014/main" id="{00000000-0008-0000-0C00-000014000000}"/>
            </a:ext>
          </a:extLst>
        </xdr:cNvPr>
        <xdr:cNvSpPr>
          <a:spLocks noChangeShapeType="1"/>
        </xdr:cNvSpPr>
      </xdr:nvSpPr>
      <xdr:spPr bwMode="auto">
        <a:xfrm>
          <a:off x="5381625" y="32956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20</xdr:row>
      <xdr:rowOff>0</xdr:rowOff>
    </xdr:from>
    <xdr:to>
      <xdr:col>2</xdr:col>
      <xdr:colOff>28575</xdr:colOff>
      <xdr:row>20</xdr:row>
      <xdr:rowOff>0</xdr:rowOff>
    </xdr:to>
    <xdr:sp macro="" textlink="">
      <xdr:nvSpPr>
        <xdr:cNvPr id="21" name="Line 46">
          <a:extLst>
            <a:ext uri="{FF2B5EF4-FFF2-40B4-BE49-F238E27FC236}">
              <a16:creationId xmlns:a16="http://schemas.microsoft.com/office/drawing/2014/main" id="{00000000-0008-0000-0C00-000015000000}"/>
            </a:ext>
          </a:extLst>
        </xdr:cNvPr>
        <xdr:cNvSpPr>
          <a:spLocks noChangeShapeType="1"/>
        </xdr:cNvSpPr>
      </xdr:nvSpPr>
      <xdr:spPr bwMode="auto">
        <a:xfrm>
          <a:off x="628650" y="3924300"/>
          <a:ext cx="41529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20</xdr:row>
      <xdr:rowOff>0</xdr:rowOff>
    </xdr:from>
    <xdr:to>
      <xdr:col>3</xdr:col>
      <xdr:colOff>9525</xdr:colOff>
      <xdr:row>20</xdr:row>
      <xdr:rowOff>0</xdr:rowOff>
    </xdr:to>
    <xdr:sp macro="" textlink="">
      <xdr:nvSpPr>
        <xdr:cNvPr id="22" name="Line 47">
          <a:extLst>
            <a:ext uri="{FF2B5EF4-FFF2-40B4-BE49-F238E27FC236}">
              <a16:creationId xmlns:a16="http://schemas.microsoft.com/office/drawing/2014/main" id="{00000000-0008-0000-0C00-000016000000}"/>
            </a:ext>
          </a:extLst>
        </xdr:cNvPr>
        <xdr:cNvSpPr>
          <a:spLocks noChangeShapeType="1"/>
        </xdr:cNvSpPr>
      </xdr:nvSpPr>
      <xdr:spPr bwMode="auto">
        <a:xfrm>
          <a:off x="2695575" y="342900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20</xdr:row>
      <xdr:rowOff>0</xdr:rowOff>
    </xdr:from>
    <xdr:to>
      <xdr:col>4</xdr:col>
      <xdr:colOff>9525</xdr:colOff>
      <xdr:row>20</xdr:row>
      <xdr:rowOff>0</xdr:rowOff>
    </xdr:to>
    <xdr:sp macro="" textlink="">
      <xdr:nvSpPr>
        <xdr:cNvPr id="23" name="Line 48">
          <a:extLst>
            <a:ext uri="{FF2B5EF4-FFF2-40B4-BE49-F238E27FC236}">
              <a16:creationId xmlns:a16="http://schemas.microsoft.com/office/drawing/2014/main" id="{00000000-0008-0000-0C00-000017000000}"/>
            </a:ext>
          </a:extLst>
        </xdr:cNvPr>
        <xdr:cNvSpPr>
          <a:spLocks noChangeShapeType="1"/>
        </xdr:cNvSpPr>
      </xdr:nvSpPr>
      <xdr:spPr bwMode="auto">
        <a:xfrm>
          <a:off x="5381625" y="342900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21</xdr:row>
      <xdr:rowOff>0</xdr:rowOff>
    </xdr:from>
    <xdr:to>
      <xdr:col>2</xdr:col>
      <xdr:colOff>28575</xdr:colOff>
      <xdr:row>21</xdr:row>
      <xdr:rowOff>0</xdr:rowOff>
    </xdr:to>
    <xdr:sp macro="" textlink="">
      <xdr:nvSpPr>
        <xdr:cNvPr id="24" name="Line 49">
          <a:extLst>
            <a:ext uri="{FF2B5EF4-FFF2-40B4-BE49-F238E27FC236}">
              <a16:creationId xmlns:a16="http://schemas.microsoft.com/office/drawing/2014/main" id="{00000000-0008-0000-0C00-000018000000}"/>
            </a:ext>
          </a:extLst>
        </xdr:cNvPr>
        <xdr:cNvSpPr>
          <a:spLocks noChangeShapeType="1"/>
        </xdr:cNvSpPr>
      </xdr:nvSpPr>
      <xdr:spPr bwMode="auto">
        <a:xfrm>
          <a:off x="504825" y="3562350"/>
          <a:ext cx="2190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28575</xdr:colOff>
      <xdr:row>21</xdr:row>
      <xdr:rowOff>0</xdr:rowOff>
    </xdr:from>
    <xdr:to>
      <xdr:col>3</xdr:col>
      <xdr:colOff>9525</xdr:colOff>
      <xdr:row>21</xdr:row>
      <xdr:rowOff>0</xdr:rowOff>
    </xdr:to>
    <xdr:sp macro="" textlink="">
      <xdr:nvSpPr>
        <xdr:cNvPr id="25" name="Line 50">
          <a:extLst>
            <a:ext uri="{FF2B5EF4-FFF2-40B4-BE49-F238E27FC236}">
              <a16:creationId xmlns:a16="http://schemas.microsoft.com/office/drawing/2014/main" id="{00000000-0008-0000-0C00-000019000000}"/>
            </a:ext>
          </a:extLst>
        </xdr:cNvPr>
        <xdr:cNvSpPr>
          <a:spLocks noChangeShapeType="1"/>
        </xdr:cNvSpPr>
      </xdr:nvSpPr>
      <xdr:spPr bwMode="auto">
        <a:xfrm>
          <a:off x="2695575" y="3562350"/>
          <a:ext cx="26860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21</xdr:row>
      <xdr:rowOff>0</xdr:rowOff>
    </xdr:from>
    <xdr:to>
      <xdr:col>4</xdr:col>
      <xdr:colOff>9525</xdr:colOff>
      <xdr:row>21</xdr:row>
      <xdr:rowOff>0</xdr:rowOff>
    </xdr:to>
    <xdr:sp macro="" textlink="">
      <xdr:nvSpPr>
        <xdr:cNvPr id="26" name="Line 51">
          <a:extLst>
            <a:ext uri="{FF2B5EF4-FFF2-40B4-BE49-F238E27FC236}">
              <a16:creationId xmlns:a16="http://schemas.microsoft.com/office/drawing/2014/main" id="{00000000-0008-0000-0C00-00001A000000}"/>
            </a:ext>
          </a:extLst>
        </xdr:cNvPr>
        <xdr:cNvSpPr>
          <a:spLocks noChangeShapeType="1"/>
        </xdr:cNvSpPr>
      </xdr:nvSpPr>
      <xdr:spPr bwMode="auto">
        <a:xfrm>
          <a:off x="5381625" y="35623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4</xdr:col>
      <xdr:colOff>0</xdr:colOff>
      <xdr:row>8</xdr:row>
      <xdr:rowOff>0</xdr:rowOff>
    </xdr:from>
    <xdr:to>
      <xdr:col>5</xdr:col>
      <xdr:colOff>9525</xdr:colOff>
      <xdr:row>8</xdr:row>
      <xdr:rowOff>0</xdr:rowOff>
    </xdr:to>
    <xdr:sp macro="" textlink="">
      <xdr:nvSpPr>
        <xdr:cNvPr id="27" name="Line 17">
          <a:extLst>
            <a:ext uri="{FF2B5EF4-FFF2-40B4-BE49-F238E27FC236}">
              <a16:creationId xmlns:a16="http://schemas.microsoft.com/office/drawing/2014/main" id="{00000000-0008-0000-0C00-00001B000000}"/>
            </a:ext>
          </a:extLst>
        </xdr:cNvPr>
        <xdr:cNvSpPr>
          <a:spLocks noChangeShapeType="1"/>
        </xdr:cNvSpPr>
      </xdr:nvSpPr>
      <xdr:spPr bwMode="auto">
        <a:xfrm>
          <a:off x="28575" y="1809750"/>
          <a:ext cx="4667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8</xdr:row>
      <xdr:rowOff>0</xdr:rowOff>
    </xdr:from>
    <xdr:to>
      <xdr:col>6</xdr:col>
      <xdr:colOff>9525</xdr:colOff>
      <xdr:row>8</xdr:row>
      <xdr:rowOff>0</xdr:rowOff>
    </xdr:to>
    <xdr:sp macro="" textlink="">
      <xdr:nvSpPr>
        <xdr:cNvPr id="28" name="Line 37">
          <a:extLst>
            <a:ext uri="{FF2B5EF4-FFF2-40B4-BE49-F238E27FC236}">
              <a16:creationId xmlns:a16="http://schemas.microsoft.com/office/drawing/2014/main" id="{00000000-0008-0000-0C00-00001C000000}"/>
            </a:ext>
          </a:extLst>
        </xdr:cNvPr>
        <xdr:cNvSpPr>
          <a:spLocks noChangeShapeType="1"/>
        </xdr:cNvSpPr>
      </xdr:nvSpPr>
      <xdr:spPr bwMode="auto">
        <a:xfrm>
          <a:off x="495300" y="1809750"/>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8</xdr:row>
      <xdr:rowOff>0</xdr:rowOff>
    </xdr:from>
    <xdr:to>
      <xdr:col>7</xdr:col>
      <xdr:colOff>9525</xdr:colOff>
      <xdr:row>8</xdr:row>
      <xdr:rowOff>0</xdr:rowOff>
    </xdr:to>
    <xdr:sp macro="" textlink="">
      <xdr:nvSpPr>
        <xdr:cNvPr id="29" name="Line 38">
          <a:extLst>
            <a:ext uri="{FF2B5EF4-FFF2-40B4-BE49-F238E27FC236}">
              <a16:creationId xmlns:a16="http://schemas.microsoft.com/office/drawing/2014/main" id="{00000000-0008-0000-0C00-00001D000000}"/>
            </a:ext>
          </a:extLst>
        </xdr:cNvPr>
        <xdr:cNvSpPr>
          <a:spLocks noChangeShapeType="1"/>
        </xdr:cNvSpPr>
      </xdr:nvSpPr>
      <xdr:spPr bwMode="auto">
        <a:xfrm>
          <a:off x="1066800"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8</xdr:row>
      <xdr:rowOff>0</xdr:rowOff>
    </xdr:from>
    <xdr:to>
      <xdr:col>8</xdr:col>
      <xdr:colOff>9525</xdr:colOff>
      <xdr:row>8</xdr:row>
      <xdr:rowOff>0</xdr:rowOff>
    </xdr:to>
    <xdr:sp macro="" textlink="">
      <xdr:nvSpPr>
        <xdr:cNvPr id="30" name="Line 39">
          <a:extLst>
            <a:ext uri="{FF2B5EF4-FFF2-40B4-BE49-F238E27FC236}">
              <a16:creationId xmlns:a16="http://schemas.microsoft.com/office/drawing/2014/main" id="{00000000-0008-0000-0C00-00001E000000}"/>
            </a:ext>
          </a:extLst>
        </xdr:cNvPr>
        <xdr:cNvSpPr>
          <a:spLocks noChangeShapeType="1"/>
        </xdr:cNvSpPr>
      </xdr:nvSpPr>
      <xdr:spPr bwMode="auto">
        <a:xfrm>
          <a:off x="171450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8</xdr:row>
      <xdr:rowOff>0</xdr:rowOff>
    </xdr:from>
    <xdr:to>
      <xdr:col>9</xdr:col>
      <xdr:colOff>9525</xdr:colOff>
      <xdr:row>8</xdr:row>
      <xdr:rowOff>0</xdr:rowOff>
    </xdr:to>
    <xdr:sp macro="" textlink="">
      <xdr:nvSpPr>
        <xdr:cNvPr id="31" name="Line 40">
          <a:extLst>
            <a:ext uri="{FF2B5EF4-FFF2-40B4-BE49-F238E27FC236}">
              <a16:creationId xmlns:a16="http://schemas.microsoft.com/office/drawing/2014/main" id="{00000000-0008-0000-0C00-00001F000000}"/>
            </a:ext>
          </a:extLst>
        </xdr:cNvPr>
        <xdr:cNvSpPr>
          <a:spLocks noChangeShapeType="1"/>
        </xdr:cNvSpPr>
      </xdr:nvSpPr>
      <xdr:spPr bwMode="auto">
        <a:xfrm>
          <a:off x="2381250"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8</xdr:row>
      <xdr:rowOff>0</xdr:rowOff>
    </xdr:from>
    <xdr:to>
      <xdr:col>10</xdr:col>
      <xdr:colOff>9525</xdr:colOff>
      <xdr:row>8</xdr:row>
      <xdr:rowOff>0</xdr:rowOff>
    </xdr:to>
    <xdr:sp macro="" textlink="">
      <xdr:nvSpPr>
        <xdr:cNvPr id="32" name="Line 41">
          <a:extLst>
            <a:ext uri="{FF2B5EF4-FFF2-40B4-BE49-F238E27FC236}">
              <a16:creationId xmlns:a16="http://schemas.microsoft.com/office/drawing/2014/main" id="{00000000-0008-0000-0C00-000020000000}"/>
            </a:ext>
          </a:extLst>
        </xdr:cNvPr>
        <xdr:cNvSpPr>
          <a:spLocks noChangeShapeType="1"/>
        </xdr:cNvSpPr>
      </xdr:nvSpPr>
      <xdr:spPr bwMode="auto">
        <a:xfrm>
          <a:off x="3028950" y="1809750"/>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8</xdr:row>
      <xdr:rowOff>0</xdr:rowOff>
    </xdr:from>
    <xdr:to>
      <xdr:col>11</xdr:col>
      <xdr:colOff>9525</xdr:colOff>
      <xdr:row>8</xdr:row>
      <xdr:rowOff>0</xdr:rowOff>
    </xdr:to>
    <xdr:sp macro="" textlink="">
      <xdr:nvSpPr>
        <xdr:cNvPr id="33" name="Line 42">
          <a:extLst>
            <a:ext uri="{FF2B5EF4-FFF2-40B4-BE49-F238E27FC236}">
              <a16:creationId xmlns:a16="http://schemas.microsoft.com/office/drawing/2014/main" id="{00000000-0008-0000-0C00-000021000000}"/>
            </a:ext>
          </a:extLst>
        </xdr:cNvPr>
        <xdr:cNvSpPr>
          <a:spLocks noChangeShapeType="1"/>
        </xdr:cNvSpPr>
      </xdr:nvSpPr>
      <xdr:spPr bwMode="auto">
        <a:xfrm>
          <a:off x="3533775"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8</xdr:row>
      <xdr:rowOff>0</xdr:rowOff>
    </xdr:from>
    <xdr:to>
      <xdr:col>12</xdr:col>
      <xdr:colOff>9525</xdr:colOff>
      <xdr:row>8</xdr:row>
      <xdr:rowOff>0</xdr:rowOff>
    </xdr:to>
    <xdr:sp macro="" textlink="">
      <xdr:nvSpPr>
        <xdr:cNvPr id="34" name="Line 43">
          <a:extLst>
            <a:ext uri="{FF2B5EF4-FFF2-40B4-BE49-F238E27FC236}">
              <a16:creationId xmlns:a16="http://schemas.microsoft.com/office/drawing/2014/main" id="{00000000-0008-0000-0C00-000022000000}"/>
            </a:ext>
          </a:extLst>
        </xdr:cNvPr>
        <xdr:cNvSpPr>
          <a:spLocks noChangeShapeType="1"/>
        </xdr:cNvSpPr>
      </xdr:nvSpPr>
      <xdr:spPr bwMode="auto">
        <a:xfrm>
          <a:off x="4181475"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8</xdr:row>
      <xdr:rowOff>0</xdr:rowOff>
    </xdr:from>
    <xdr:to>
      <xdr:col>13</xdr:col>
      <xdr:colOff>9525</xdr:colOff>
      <xdr:row>8</xdr:row>
      <xdr:rowOff>0</xdr:rowOff>
    </xdr:to>
    <xdr:sp macro="" textlink="">
      <xdr:nvSpPr>
        <xdr:cNvPr id="35" name="Line 44">
          <a:extLst>
            <a:ext uri="{FF2B5EF4-FFF2-40B4-BE49-F238E27FC236}">
              <a16:creationId xmlns:a16="http://schemas.microsoft.com/office/drawing/2014/main" id="{00000000-0008-0000-0C00-000023000000}"/>
            </a:ext>
          </a:extLst>
        </xdr:cNvPr>
        <xdr:cNvSpPr>
          <a:spLocks noChangeShapeType="1"/>
        </xdr:cNvSpPr>
      </xdr:nvSpPr>
      <xdr:spPr bwMode="auto">
        <a:xfrm>
          <a:off x="4848225"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8</xdr:row>
      <xdr:rowOff>0</xdr:rowOff>
    </xdr:from>
    <xdr:to>
      <xdr:col>14</xdr:col>
      <xdr:colOff>9525</xdr:colOff>
      <xdr:row>8</xdr:row>
      <xdr:rowOff>0</xdr:rowOff>
    </xdr:to>
    <xdr:sp macro="" textlink="">
      <xdr:nvSpPr>
        <xdr:cNvPr id="36" name="Line 45">
          <a:extLst>
            <a:ext uri="{FF2B5EF4-FFF2-40B4-BE49-F238E27FC236}">
              <a16:creationId xmlns:a16="http://schemas.microsoft.com/office/drawing/2014/main" id="{00000000-0008-0000-0C00-000024000000}"/>
            </a:ext>
          </a:extLst>
        </xdr:cNvPr>
        <xdr:cNvSpPr>
          <a:spLocks noChangeShapeType="1"/>
        </xdr:cNvSpPr>
      </xdr:nvSpPr>
      <xdr:spPr bwMode="auto">
        <a:xfrm>
          <a:off x="5495925" y="180975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18</xdr:row>
      <xdr:rowOff>0</xdr:rowOff>
    </xdr:from>
    <xdr:to>
      <xdr:col>6</xdr:col>
      <xdr:colOff>9525</xdr:colOff>
      <xdr:row>18</xdr:row>
      <xdr:rowOff>0</xdr:rowOff>
    </xdr:to>
    <xdr:sp macro="" textlink="">
      <xdr:nvSpPr>
        <xdr:cNvPr id="37" name="Line 46">
          <a:extLst>
            <a:ext uri="{FF2B5EF4-FFF2-40B4-BE49-F238E27FC236}">
              <a16:creationId xmlns:a16="http://schemas.microsoft.com/office/drawing/2014/main" id="{00000000-0008-0000-0C00-000025000000}"/>
            </a:ext>
          </a:extLst>
        </xdr:cNvPr>
        <xdr:cNvSpPr>
          <a:spLocks noChangeShapeType="1"/>
        </xdr:cNvSpPr>
      </xdr:nvSpPr>
      <xdr:spPr bwMode="auto">
        <a:xfrm>
          <a:off x="495300" y="28289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18</xdr:row>
      <xdr:rowOff>0</xdr:rowOff>
    </xdr:from>
    <xdr:to>
      <xdr:col>7</xdr:col>
      <xdr:colOff>9525</xdr:colOff>
      <xdr:row>18</xdr:row>
      <xdr:rowOff>0</xdr:rowOff>
    </xdr:to>
    <xdr:sp macro="" textlink="">
      <xdr:nvSpPr>
        <xdr:cNvPr id="38" name="Line 47">
          <a:extLst>
            <a:ext uri="{FF2B5EF4-FFF2-40B4-BE49-F238E27FC236}">
              <a16:creationId xmlns:a16="http://schemas.microsoft.com/office/drawing/2014/main" id="{00000000-0008-0000-0C00-000026000000}"/>
            </a:ext>
          </a:extLst>
        </xdr:cNvPr>
        <xdr:cNvSpPr>
          <a:spLocks noChangeShapeType="1"/>
        </xdr:cNvSpPr>
      </xdr:nvSpPr>
      <xdr:spPr bwMode="auto">
        <a:xfrm>
          <a:off x="1066800"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18</xdr:row>
      <xdr:rowOff>0</xdr:rowOff>
    </xdr:from>
    <xdr:to>
      <xdr:col>8</xdr:col>
      <xdr:colOff>9525</xdr:colOff>
      <xdr:row>18</xdr:row>
      <xdr:rowOff>0</xdr:rowOff>
    </xdr:to>
    <xdr:sp macro="" textlink="">
      <xdr:nvSpPr>
        <xdr:cNvPr id="39" name="Line 48">
          <a:extLst>
            <a:ext uri="{FF2B5EF4-FFF2-40B4-BE49-F238E27FC236}">
              <a16:creationId xmlns:a16="http://schemas.microsoft.com/office/drawing/2014/main" id="{00000000-0008-0000-0C00-000027000000}"/>
            </a:ext>
          </a:extLst>
        </xdr:cNvPr>
        <xdr:cNvSpPr>
          <a:spLocks noChangeShapeType="1"/>
        </xdr:cNvSpPr>
      </xdr:nvSpPr>
      <xdr:spPr bwMode="auto">
        <a:xfrm>
          <a:off x="1714500" y="2828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18</xdr:row>
      <xdr:rowOff>0</xdr:rowOff>
    </xdr:from>
    <xdr:to>
      <xdr:col>9</xdr:col>
      <xdr:colOff>9525</xdr:colOff>
      <xdr:row>18</xdr:row>
      <xdr:rowOff>0</xdr:rowOff>
    </xdr:to>
    <xdr:sp macro="" textlink="">
      <xdr:nvSpPr>
        <xdr:cNvPr id="40" name="Line 49">
          <a:extLst>
            <a:ext uri="{FF2B5EF4-FFF2-40B4-BE49-F238E27FC236}">
              <a16:creationId xmlns:a16="http://schemas.microsoft.com/office/drawing/2014/main" id="{00000000-0008-0000-0C00-000028000000}"/>
            </a:ext>
          </a:extLst>
        </xdr:cNvPr>
        <xdr:cNvSpPr>
          <a:spLocks noChangeShapeType="1"/>
        </xdr:cNvSpPr>
      </xdr:nvSpPr>
      <xdr:spPr bwMode="auto">
        <a:xfrm>
          <a:off x="2381250"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18</xdr:row>
      <xdr:rowOff>0</xdr:rowOff>
    </xdr:from>
    <xdr:to>
      <xdr:col>10</xdr:col>
      <xdr:colOff>9525</xdr:colOff>
      <xdr:row>18</xdr:row>
      <xdr:rowOff>0</xdr:rowOff>
    </xdr:to>
    <xdr:sp macro="" textlink="">
      <xdr:nvSpPr>
        <xdr:cNvPr id="41" name="Line 50">
          <a:extLst>
            <a:ext uri="{FF2B5EF4-FFF2-40B4-BE49-F238E27FC236}">
              <a16:creationId xmlns:a16="http://schemas.microsoft.com/office/drawing/2014/main" id="{00000000-0008-0000-0C00-000029000000}"/>
            </a:ext>
          </a:extLst>
        </xdr:cNvPr>
        <xdr:cNvSpPr>
          <a:spLocks noChangeShapeType="1"/>
        </xdr:cNvSpPr>
      </xdr:nvSpPr>
      <xdr:spPr bwMode="auto">
        <a:xfrm>
          <a:off x="3028950" y="28289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18</xdr:row>
      <xdr:rowOff>0</xdr:rowOff>
    </xdr:from>
    <xdr:to>
      <xdr:col>11</xdr:col>
      <xdr:colOff>9525</xdr:colOff>
      <xdr:row>18</xdr:row>
      <xdr:rowOff>0</xdr:rowOff>
    </xdr:to>
    <xdr:sp macro="" textlink="">
      <xdr:nvSpPr>
        <xdr:cNvPr id="42" name="Line 51">
          <a:extLst>
            <a:ext uri="{FF2B5EF4-FFF2-40B4-BE49-F238E27FC236}">
              <a16:creationId xmlns:a16="http://schemas.microsoft.com/office/drawing/2014/main" id="{00000000-0008-0000-0C00-00002A000000}"/>
            </a:ext>
          </a:extLst>
        </xdr:cNvPr>
        <xdr:cNvSpPr>
          <a:spLocks noChangeShapeType="1"/>
        </xdr:cNvSpPr>
      </xdr:nvSpPr>
      <xdr:spPr bwMode="auto">
        <a:xfrm>
          <a:off x="3533775"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18</xdr:row>
      <xdr:rowOff>0</xdr:rowOff>
    </xdr:from>
    <xdr:to>
      <xdr:col>12</xdr:col>
      <xdr:colOff>9525</xdr:colOff>
      <xdr:row>18</xdr:row>
      <xdr:rowOff>0</xdr:rowOff>
    </xdr:to>
    <xdr:sp macro="" textlink="">
      <xdr:nvSpPr>
        <xdr:cNvPr id="43" name="Line 52">
          <a:extLst>
            <a:ext uri="{FF2B5EF4-FFF2-40B4-BE49-F238E27FC236}">
              <a16:creationId xmlns:a16="http://schemas.microsoft.com/office/drawing/2014/main" id="{00000000-0008-0000-0C00-00002B000000}"/>
            </a:ext>
          </a:extLst>
        </xdr:cNvPr>
        <xdr:cNvSpPr>
          <a:spLocks noChangeShapeType="1"/>
        </xdr:cNvSpPr>
      </xdr:nvSpPr>
      <xdr:spPr bwMode="auto">
        <a:xfrm>
          <a:off x="4181475" y="2828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18</xdr:row>
      <xdr:rowOff>0</xdr:rowOff>
    </xdr:from>
    <xdr:to>
      <xdr:col>13</xdr:col>
      <xdr:colOff>9525</xdr:colOff>
      <xdr:row>18</xdr:row>
      <xdr:rowOff>0</xdr:rowOff>
    </xdr:to>
    <xdr:sp macro="" textlink="">
      <xdr:nvSpPr>
        <xdr:cNvPr id="44" name="Line 53">
          <a:extLst>
            <a:ext uri="{FF2B5EF4-FFF2-40B4-BE49-F238E27FC236}">
              <a16:creationId xmlns:a16="http://schemas.microsoft.com/office/drawing/2014/main" id="{00000000-0008-0000-0C00-00002C000000}"/>
            </a:ext>
          </a:extLst>
        </xdr:cNvPr>
        <xdr:cNvSpPr>
          <a:spLocks noChangeShapeType="1"/>
        </xdr:cNvSpPr>
      </xdr:nvSpPr>
      <xdr:spPr bwMode="auto">
        <a:xfrm>
          <a:off x="4848225"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18</xdr:row>
      <xdr:rowOff>0</xdr:rowOff>
    </xdr:from>
    <xdr:to>
      <xdr:col>14</xdr:col>
      <xdr:colOff>9525</xdr:colOff>
      <xdr:row>18</xdr:row>
      <xdr:rowOff>0</xdr:rowOff>
    </xdr:to>
    <xdr:sp macro="" textlink="">
      <xdr:nvSpPr>
        <xdr:cNvPr id="45" name="Line 54">
          <a:extLst>
            <a:ext uri="{FF2B5EF4-FFF2-40B4-BE49-F238E27FC236}">
              <a16:creationId xmlns:a16="http://schemas.microsoft.com/office/drawing/2014/main" id="{00000000-0008-0000-0C00-00002D000000}"/>
            </a:ext>
          </a:extLst>
        </xdr:cNvPr>
        <xdr:cNvSpPr>
          <a:spLocks noChangeShapeType="1"/>
        </xdr:cNvSpPr>
      </xdr:nvSpPr>
      <xdr:spPr bwMode="auto">
        <a:xfrm>
          <a:off x="5495925" y="28289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23</xdr:row>
      <xdr:rowOff>0</xdr:rowOff>
    </xdr:from>
    <xdr:to>
      <xdr:col>6</xdr:col>
      <xdr:colOff>9525</xdr:colOff>
      <xdr:row>23</xdr:row>
      <xdr:rowOff>0</xdr:rowOff>
    </xdr:to>
    <xdr:sp macro="" textlink="">
      <xdr:nvSpPr>
        <xdr:cNvPr id="46" name="Line 55">
          <a:extLst>
            <a:ext uri="{FF2B5EF4-FFF2-40B4-BE49-F238E27FC236}">
              <a16:creationId xmlns:a16="http://schemas.microsoft.com/office/drawing/2014/main" id="{00000000-0008-0000-0C00-00002E000000}"/>
            </a:ext>
          </a:extLst>
        </xdr:cNvPr>
        <xdr:cNvSpPr>
          <a:spLocks noChangeShapeType="1"/>
        </xdr:cNvSpPr>
      </xdr:nvSpPr>
      <xdr:spPr bwMode="auto">
        <a:xfrm>
          <a:off x="495300" y="34956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23</xdr:row>
      <xdr:rowOff>0</xdr:rowOff>
    </xdr:from>
    <xdr:to>
      <xdr:col>7</xdr:col>
      <xdr:colOff>9525</xdr:colOff>
      <xdr:row>23</xdr:row>
      <xdr:rowOff>0</xdr:rowOff>
    </xdr:to>
    <xdr:sp macro="" textlink="">
      <xdr:nvSpPr>
        <xdr:cNvPr id="47" name="Line 56">
          <a:extLst>
            <a:ext uri="{FF2B5EF4-FFF2-40B4-BE49-F238E27FC236}">
              <a16:creationId xmlns:a16="http://schemas.microsoft.com/office/drawing/2014/main" id="{00000000-0008-0000-0C00-00002F000000}"/>
            </a:ext>
          </a:extLst>
        </xdr:cNvPr>
        <xdr:cNvSpPr>
          <a:spLocks noChangeShapeType="1"/>
        </xdr:cNvSpPr>
      </xdr:nvSpPr>
      <xdr:spPr bwMode="auto">
        <a:xfrm>
          <a:off x="1066800"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23</xdr:row>
      <xdr:rowOff>0</xdr:rowOff>
    </xdr:from>
    <xdr:to>
      <xdr:col>8</xdr:col>
      <xdr:colOff>9525</xdr:colOff>
      <xdr:row>23</xdr:row>
      <xdr:rowOff>0</xdr:rowOff>
    </xdr:to>
    <xdr:sp macro="" textlink="">
      <xdr:nvSpPr>
        <xdr:cNvPr id="48" name="Line 57">
          <a:extLst>
            <a:ext uri="{FF2B5EF4-FFF2-40B4-BE49-F238E27FC236}">
              <a16:creationId xmlns:a16="http://schemas.microsoft.com/office/drawing/2014/main" id="{00000000-0008-0000-0C00-000030000000}"/>
            </a:ext>
          </a:extLst>
        </xdr:cNvPr>
        <xdr:cNvSpPr>
          <a:spLocks noChangeShapeType="1"/>
        </xdr:cNvSpPr>
      </xdr:nvSpPr>
      <xdr:spPr bwMode="auto">
        <a:xfrm>
          <a:off x="1714500" y="3495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23</xdr:row>
      <xdr:rowOff>0</xdr:rowOff>
    </xdr:from>
    <xdr:to>
      <xdr:col>9</xdr:col>
      <xdr:colOff>9525</xdr:colOff>
      <xdr:row>23</xdr:row>
      <xdr:rowOff>0</xdr:rowOff>
    </xdr:to>
    <xdr:sp macro="" textlink="">
      <xdr:nvSpPr>
        <xdr:cNvPr id="49" name="Line 58">
          <a:extLst>
            <a:ext uri="{FF2B5EF4-FFF2-40B4-BE49-F238E27FC236}">
              <a16:creationId xmlns:a16="http://schemas.microsoft.com/office/drawing/2014/main" id="{00000000-0008-0000-0C00-000031000000}"/>
            </a:ext>
          </a:extLst>
        </xdr:cNvPr>
        <xdr:cNvSpPr>
          <a:spLocks noChangeShapeType="1"/>
        </xdr:cNvSpPr>
      </xdr:nvSpPr>
      <xdr:spPr bwMode="auto">
        <a:xfrm>
          <a:off x="2381250"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23</xdr:row>
      <xdr:rowOff>0</xdr:rowOff>
    </xdr:from>
    <xdr:to>
      <xdr:col>10</xdr:col>
      <xdr:colOff>9525</xdr:colOff>
      <xdr:row>23</xdr:row>
      <xdr:rowOff>0</xdr:rowOff>
    </xdr:to>
    <xdr:sp macro="" textlink="">
      <xdr:nvSpPr>
        <xdr:cNvPr id="50" name="Line 59">
          <a:extLst>
            <a:ext uri="{FF2B5EF4-FFF2-40B4-BE49-F238E27FC236}">
              <a16:creationId xmlns:a16="http://schemas.microsoft.com/office/drawing/2014/main" id="{00000000-0008-0000-0C00-000032000000}"/>
            </a:ext>
          </a:extLst>
        </xdr:cNvPr>
        <xdr:cNvSpPr>
          <a:spLocks noChangeShapeType="1"/>
        </xdr:cNvSpPr>
      </xdr:nvSpPr>
      <xdr:spPr bwMode="auto">
        <a:xfrm>
          <a:off x="3028950" y="34956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23</xdr:row>
      <xdr:rowOff>0</xdr:rowOff>
    </xdr:from>
    <xdr:to>
      <xdr:col>11</xdr:col>
      <xdr:colOff>9525</xdr:colOff>
      <xdr:row>23</xdr:row>
      <xdr:rowOff>0</xdr:rowOff>
    </xdr:to>
    <xdr:sp macro="" textlink="">
      <xdr:nvSpPr>
        <xdr:cNvPr id="51" name="Line 60">
          <a:extLst>
            <a:ext uri="{FF2B5EF4-FFF2-40B4-BE49-F238E27FC236}">
              <a16:creationId xmlns:a16="http://schemas.microsoft.com/office/drawing/2014/main" id="{00000000-0008-0000-0C00-000033000000}"/>
            </a:ext>
          </a:extLst>
        </xdr:cNvPr>
        <xdr:cNvSpPr>
          <a:spLocks noChangeShapeType="1"/>
        </xdr:cNvSpPr>
      </xdr:nvSpPr>
      <xdr:spPr bwMode="auto">
        <a:xfrm>
          <a:off x="3533775"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23</xdr:row>
      <xdr:rowOff>0</xdr:rowOff>
    </xdr:from>
    <xdr:to>
      <xdr:col>12</xdr:col>
      <xdr:colOff>9525</xdr:colOff>
      <xdr:row>23</xdr:row>
      <xdr:rowOff>0</xdr:rowOff>
    </xdr:to>
    <xdr:sp macro="" textlink="">
      <xdr:nvSpPr>
        <xdr:cNvPr id="52" name="Line 61">
          <a:extLst>
            <a:ext uri="{FF2B5EF4-FFF2-40B4-BE49-F238E27FC236}">
              <a16:creationId xmlns:a16="http://schemas.microsoft.com/office/drawing/2014/main" id="{00000000-0008-0000-0C00-000034000000}"/>
            </a:ext>
          </a:extLst>
        </xdr:cNvPr>
        <xdr:cNvSpPr>
          <a:spLocks noChangeShapeType="1"/>
        </xdr:cNvSpPr>
      </xdr:nvSpPr>
      <xdr:spPr bwMode="auto">
        <a:xfrm>
          <a:off x="4181475" y="3495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23</xdr:row>
      <xdr:rowOff>0</xdr:rowOff>
    </xdr:from>
    <xdr:to>
      <xdr:col>13</xdr:col>
      <xdr:colOff>9525</xdr:colOff>
      <xdr:row>23</xdr:row>
      <xdr:rowOff>0</xdr:rowOff>
    </xdr:to>
    <xdr:sp macro="" textlink="">
      <xdr:nvSpPr>
        <xdr:cNvPr id="53" name="Line 62">
          <a:extLst>
            <a:ext uri="{FF2B5EF4-FFF2-40B4-BE49-F238E27FC236}">
              <a16:creationId xmlns:a16="http://schemas.microsoft.com/office/drawing/2014/main" id="{00000000-0008-0000-0C00-000035000000}"/>
            </a:ext>
          </a:extLst>
        </xdr:cNvPr>
        <xdr:cNvSpPr>
          <a:spLocks noChangeShapeType="1"/>
        </xdr:cNvSpPr>
      </xdr:nvSpPr>
      <xdr:spPr bwMode="auto">
        <a:xfrm>
          <a:off x="4848225"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23</xdr:row>
      <xdr:rowOff>0</xdr:rowOff>
    </xdr:from>
    <xdr:to>
      <xdr:col>14</xdr:col>
      <xdr:colOff>9525</xdr:colOff>
      <xdr:row>23</xdr:row>
      <xdr:rowOff>0</xdr:rowOff>
    </xdr:to>
    <xdr:sp macro="" textlink="">
      <xdr:nvSpPr>
        <xdr:cNvPr id="54" name="Line 63">
          <a:extLst>
            <a:ext uri="{FF2B5EF4-FFF2-40B4-BE49-F238E27FC236}">
              <a16:creationId xmlns:a16="http://schemas.microsoft.com/office/drawing/2014/main" id="{00000000-0008-0000-0C00-000036000000}"/>
            </a:ext>
          </a:extLst>
        </xdr:cNvPr>
        <xdr:cNvSpPr>
          <a:spLocks noChangeShapeType="1"/>
        </xdr:cNvSpPr>
      </xdr:nvSpPr>
      <xdr:spPr bwMode="auto">
        <a:xfrm>
          <a:off x="5495925" y="34956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0</xdr:rowOff>
    </xdr:from>
    <xdr:to>
      <xdr:col>6</xdr:col>
      <xdr:colOff>9525</xdr:colOff>
      <xdr:row>28</xdr:row>
      <xdr:rowOff>0</xdr:rowOff>
    </xdr:to>
    <xdr:sp macro="" textlink="">
      <xdr:nvSpPr>
        <xdr:cNvPr id="55" name="Line 64">
          <a:extLst>
            <a:ext uri="{FF2B5EF4-FFF2-40B4-BE49-F238E27FC236}">
              <a16:creationId xmlns:a16="http://schemas.microsoft.com/office/drawing/2014/main" id="{00000000-0008-0000-0C00-000037000000}"/>
            </a:ext>
          </a:extLst>
        </xdr:cNvPr>
        <xdr:cNvSpPr>
          <a:spLocks noChangeShapeType="1"/>
        </xdr:cNvSpPr>
      </xdr:nvSpPr>
      <xdr:spPr bwMode="auto">
        <a:xfrm>
          <a:off x="495300" y="41624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28</xdr:row>
      <xdr:rowOff>0</xdr:rowOff>
    </xdr:from>
    <xdr:to>
      <xdr:col>7</xdr:col>
      <xdr:colOff>9525</xdr:colOff>
      <xdr:row>28</xdr:row>
      <xdr:rowOff>0</xdr:rowOff>
    </xdr:to>
    <xdr:sp macro="" textlink="">
      <xdr:nvSpPr>
        <xdr:cNvPr id="56" name="Line 65">
          <a:extLst>
            <a:ext uri="{FF2B5EF4-FFF2-40B4-BE49-F238E27FC236}">
              <a16:creationId xmlns:a16="http://schemas.microsoft.com/office/drawing/2014/main" id="{00000000-0008-0000-0C00-000038000000}"/>
            </a:ext>
          </a:extLst>
        </xdr:cNvPr>
        <xdr:cNvSpPr>
          <a:spLocks noChangeShapeType="1"/>
        </xdr:cNvSpPr>
      </xdr:nvSpPr>
      <xdr:spPr bwMode="auto">
        <a:xfrm>
          <a:off x="1066800"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28</xdr:row>
      <xdr:rowOff>0</xdr:rowOff>
    </xdr:from>
    <xdr:to>
      <xdr:col>8</xdr:col>
      <xdr:colOff>9525</xdr:colOff>
      <xdr:row>28</xdr:row>
      <xdr:rowOff>0</xdr:rowOff>
    </xdr:to>
    <xdr:sp macro="" textlink="">
      <xdr:nvSpPr>
        <xdr:cNvPr id="57" name="Line 66">
          <a:extLst>
            <a:ext uri="{FF2B5EF4-FFF2-40B4-BE49-F238E27FC236}">
              <a16:creationId xmlns:a16="http://schemas.microsoft.com/office/drawing/2014/main" id="{00000000-0008-0000-0C00-000039000000}"/>
            </a:ext>
          </a:extLst>
        </xdr:cNvPr>
        <xdr:cNvSpPr>
          <a:spLocks noChangeShapeType="1"/>
        </xdr:cNvSpPr>
      </xdr:nvSpPr>
      <xdr:spPr bwMode="auto">
        <a:xfrm>
          <a:off x="1714500" y="4162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28</xdr:row>
      <xdr:rowOff>0</xdr:rowOff>
    </xdr:from>
    <xdr:to>
      <xdr:col>9</xdr:col>
      <xdr:colOff>9525</xdr:colOff>
      <xdr:row>28</xdr:row>
      <xdr:rowOff>0</xdr:rowOff>
    </xdr:to>
    <xdr:sp macro="" textlink="">
      <xdr:nvSpPr>
        <xdr:cNvPr id="58" name="Line 67">
          <a:extLst>
            <a:ext uri="{FF2B5EF4-FFF2-40B4-BE49-F238E27FC236}">
              <a16:creationId xmlns:a16="http://schemas.microsoft.com/office/drawing/2014/main" id="{00000000-0008-0000-0C00-00003A000000}"/>
            </a:ext>
          </a:extLst>
        </xdr:cNvPr>
        <xdr:cNvSpPr>
          <a:spLocks noChangeShapeType="1"/>
        </xdr:cNvSpPr>
      </xdr:nvSpPr>
      <xdr:spPr bwMode="auto">
        <a:xfrm>
          <a:off x="2381250"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28</xdr:row>
      <xdr:rowOff>0</xdr:rowOff>
    </xdr:from>
    <xdr:to>
      <xdr:col>10</xdr:col>
      <xdr:colOff>9525</xdr:colOff>
      <xdr:row>28</xdr:row>
      <xdr:rowOff>0</xdr:rowOff>
    </xdr:to>
    <xdr:sp macro="" textlink="">
      <xdr:nvSpPr>
        <xdr:cNvPr id="59" name="Line 68">
          <a:extLst>
            <a:ext uri="{FF2B5EF4-FFF2-40B4-BE49-F238E27FC236}">
              <a16:creationId xmlns:a16="http://schemas.microsoft.com/office/drawing/2014/main" id="{00000000-0008-0000-0C00-00003B000000}"/>
            </a:ext>
          </a:extLst>
        </xdr:cNvPr>
        <xdr:cNvSpPr>
          <a:spLocks noChangeShapeType="1"/>
        </xdr:cNvSpPr>
      </xdr:nvSpPr>
      <xdr:spPr bwMode="auto">
        <a:xfrm>
          <a:off x="3028950" y="41624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28</xdr:row>
      <xdr:rowOff>0</xdr:rowOff>
    </xdr:from>
    <xdr:to>
      <xdr:col>11</xdr:col>
      <xdr:colOff>9525</xdr:colOff>
      <xdr:row>28</xdr:row>
      <xdr:rowOff>0</xdr:rowOff>
    </xdr:to>
    <xdr:sp macro="" textlink="">
      <xdr:nvSpPr>
        <xdr:cNvPr id="60" name="Line 69">
          <a:extLst>
            <a:ext uri="{FF2B5EF4-FFF2-40B4-BE49-F238E27FC236}">
              <a16:creationId xmlns:a16="http://schemas.microsoft.com/office/drawing/2014/main" id="{00000000-0008-0000-0C00-00003C000000}"/>
            </a:ext>
          </a:extLst>
        </xdr:cNvPr>
        <xdr:cNvSpPr>
          <a:spLocks noChangeShapeType="1"/>
        </xdr:cNvSpPr>
      </xdr:nvSpPr>
      <xdr:spPr bwMode="auto">
        <a:xfrm>
          <a:off x="3533775"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28</xdr:row>
      <xdr:rowOff>0</xdr:rowOff>
    </xdr:from>
    <xdr:to>
      <xdr:col>12</xdr:col>
      <xdr:colOff>9525</xdr:colOff>
      <xdr:row>28</xdr:row>
      <xdr:rowOff>0</xdr:rowOff>
    </xdr:to>
    <xdr:sp macro="" textlink="">
      <xdr:nvSpPr>
        <xdr:cNvPr id="61" name="Line 70">
          <a:extLst>
            <a:ext uri="{FF2B5EF4-FFF2-40B4-BE49-F238E27FC236}">
              <a16:creationId xmlns:a16="http://schemas.microsoft.com/office/drawing/2014/main" id="{00000000-0008-0000-0C00-00003D000000}"/>
            </a:ext>
          </a:extLst>
        </xdr:cNvPr>
        <xdr:cNvSpPr>
          <a:spLocks noChangeShapeType="1"/>
        </xdr:cNvSpPr>
      </xdr:nvSpPr>
      <xdr:spPr bwMode="auto">
        <a:xfrm>
          <a:off x="4181475" y="4162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28</xdr:row>
      <xdr:rowOff>0</xdr:rowOff>
    </xdr:from>
    <xdr:to>
      <xdr:col>13</xdr:col>
      <xdr:colOff>9525</xdr:colOff>
      <xdr:row>28</xdr:row>
      <xdr:rowOff>0</xdr:rowOff>
    </xdr:to>
    <xdr:sp macro="" textlink="">
      <xdr:nvSpPr>
        <xdr:cNvPr id="62" name="Line 71">
          <a:extLst>
            <a:ext uri="{FF2B5EF4-FFF2-40B4-BE49-F238E27FC236}">
              <a16:creationId xmlns:a16="http://schemas.microsoft.com/office/drawing/2014/main" id="{00000000-0008-0000-0C00-00003E000000}"/>
            </a:ext>
          </a:extLst>
        </xdr:cNvPr>
        <xdr:cNvSpPr>
          <a:spLocks noChangeShapeType="1"/>
        </xdr:cNvSpPr>
      </xdr:nvSpPr>
      <xdr:spPr bwMode="auto">
        <a:xfrm>
          <a:off x="4848225"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28</xdr:row>
      <xdr:rowOff>0</xdr:rowOff>
    </xdr:from>
    <xdr:to>
      <xdr:col>14</xdr:col>
      <xdr:colOff>9525</xdr:colOff>
      <xdr:row>28</xdr:row>
      <xdr:rowOff>0</xdr:rowOff>
    </xdr:to>
    <xdr:sp macro="" textlink="">
      <xdr:nvSpPr>
        <xdr:cNvPr id="63" name="Line 72">
          <a:extLst>
            <a:ext uri="{FF2B5EF4-FFF2-40B4-BE49-F238E27FC236}">
              <a16:creationId xmlns:a16="http://schemas.microsoft.com/office/drawing/2014/main" id="{00000000-0008-0000-0C00-00003F000000}"/>
            </a:ext>
          </a:extLst>
        </xdr:cNvPr>
        <xdr:cNvSpPr>
          <a:spLocks noChangeShapeType="1"/>
        </xdr:cNvSpPr>
      </xdr:nvSpPr>
      <xdr:spPr bwMode="auto">
        <a:xfrm>
          <a:off x="5495925" y="41624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33</xdr:row>
      <xdr:rowOff>0</xdr:rowOff>
    </xdr:from>
    <xdr:to>
      <xdr:col>6</xdr:col>
      <xdr:colOff>9525</xdr:colOff>
      <xdr:row>33</xdr:row>
      <xdr:rowOff>0</xdr:rowOff>
    </xdr:to>
    <xdr:sp macro="" textlink="">
      <xdr:nvSpPr>
        <xdr:cNvPr id="64" name="Line 73">
          <a:extLst>
            <a:ext uri="{FF2B5EF4-FFF2-40B4-BE49-F238E27FC236}">
              <a16:creationId xmlns:a16="http://schemas.microsoft.com/office/drawing/2014/main" id="{00000000-0008-0000-0C00-000040000000}"/>
            </a:ext>
          </a:extLst>
        </xdr:cNvPr>
        <xdr:cNvSpPr>
          <a:spLocks noChangeShapeType="1"/>
        </xdr:cNvSpPr>
      </xdr:nvSpPr>
      <xdr:spPr bwMode="auto">
        <a:xfrm>
          <a:off x="495300" y="48291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33</xdr:row>
      <xdr:rowOff>0</xdr:rowOff>
    </xdr:from>
    <xdr:to>
      <xdr:col>7</xdr:col>
      <xdr:colOff>9525</xdr:colOff>
      <xdr:row>33</xdr:row>
      <xdr:rowOff>0</xdr:rowOff>
    </xdr:to>
    <xdr:sp macro="" textlink="">
      <xdr:nvSpPr>
        <xdr:cNvPr id="65" name="Line 74">
          <a:extLst>
            <a:ext uri="{FF2B5EF4-FFF2-40B4-BE49-F238E27FC236}">
              <a16:creationId xmlns:a16="http://schemas.microsoft.com/office/drawing/2014/main" id="{00000000-0008-0000-0C00-000041000000}"/>
            </a:ext>
          </a:extLst>
        </xdr:cNvPr>
        <xdr:cNvSpPr>
          <a:spLocks noChangeShapeType="1"/>
        </xdr:cNvSpPr>
      </xdr:nvSpPr>
      <xdr:spPr bwMode="auto">
        <a:xfrm>
          <a:off x="1066800"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33</xdr:row>
      <xdr:rowOff>0</xdr:rowOff>
    </xdr:from>
    <xdr:to>
      <xdr:col>8</xdr:col>
      <xdr:colOff>9525</xdr:colOff>
      <xdr:row>33</xdr:row>
      <xdr:rowOff>0</xdr:rowOff>
    </xdr:to>
    <xdr:sp macro="" textlink="">
      <xdr:nvSpPr>
        <xdr:cNvPr id="66" name="Line 75">
          <a:extLst>
            <a:ext uri="{FF2B5EF4-FFF2-40B4-BE49-F238E27FC236}">
              <a16:creationId xmlns:a16="http://schemas.microsoft.com/office/drawing/2014/main" id="{00000000-0008-0000-0C00-000042000000}"/>
            </a:ext>
          </a:extLst>
        </xdr:cNvPr>
        <xdr:cNvSpPr>
          <a:spLocks noChangeShapeType="1"/>
        </xdr:cNvSpPr>
      </xdr:nvSpPr>
      <xdr:spPr bwMode="auto">
        <a:xfrm>
          <a:off x="1714500" y="48291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33</xdr:row>
      <xdr:rowOff>0</xdr:rowOff>
    </xdr:from>
    <xdr:to>
      <xdr:col>9</xdr:col>
      <xdr:colOff>9525</xdr:colOff>
      <xdr:row>33</xdr:row>
      <xdr:rowOff>0</xdr:rowOff>
    </xdr:to>
    <xdr:sp macro="" textlink="">
      <xdr:nvSpPr>
        <xdr:cNvPr id="67" name="Line 76">
          <a:extLst>
            <a:ext uri="{FF2B5EF4-FFF2-40B4-BE49-F238E27FC236}">
              <a16:creationId xmlns:a16="http://schemas.microsoft.com/office/drawing/2014/main" id="{00000000-0008-0000-0C00-000043000000}"/>
            </a:ext>
          </a:extLst>
        </xdr:cNvPr>
        <xdr:cNvSpPr>
          <a:spLocks noChangeShapeType="1"/>
        </xdr:cNvSpPr>
      </xdr:nvSpPr>
      <xdr:spPr bwMode="auto">
        <a:xfrm>
          <a:off x="2381250"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33</xdr:row>
      <xdr:rowOff>0</xdr:rowOff>
    </xdr:from>
    <xdr:to>
      <xdr:col>10</xdr:col>
      <xdr:colOff>9525</xdr:colOff>
      <xdr:row>33</xdr:row>
      <xdr:rowOff>0</xdr:rowOff>
    </xdr:to>
    <xdr:sp macro="" textlink="">
      <xdr:nvSpPr>
        <xdr:cNvPr id="68" name="Line 77">
          <a:extLst>
            <a:ext uri="{FF2B5EF4-FFF2-40B4-BE49-F238E27FC236}">
              <a16:creationId xmlns:a16="http://schemas.microsoft.com/office/drawing/2014/main" id="{00000000-0008-0000-0C00-000044000000}"/>
            </a:ext>
          </a:extLst>
        </xdr:cNvPr>
        <xdr:cNvSpPr>
          <a:spLocks noChangeShapeType="1"/>
        </xdr:cNvSpPr>
      </xdr:nvSpPr>
      <xdr:spPr bwMode="auto">
        <a:xfrm>
          <a:off x="3028950" y="48291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33</xdr:row>
      <xdr:rowOff>0</xdr:rowOff>
    </xdr:from>
    <xdr:to>
      <xdr:col>11</xdr:col>
      <xdr:colOff>9525</xdr:colOff>
      <xdr:row>33</xdr:row>
      <xdr:rowOff>0</xdr:rowOff>
    </xdr:to>
    <xdr:sp macro="" textlink="">
      <xdr:nvSpPr>
        <xdr:cNvPr id="69" name="Line 78">
          <a:extLst>
            <a:ext uri="{FF2B5EF4-FFF2-40B4-BE49-F238E27FC236}">
              <a16:creationId xmlns:a16="http://schemas.microsoft.com/office/drawing/2014/main" id="{00000000-0008-0000-0C00-000045000000}"/>
            </a:ext>
          </a:extLst>
        </xdr:cNvPr>
        <xdr:cNvSpPr>
          <a:spLocks noChangeShapeType="1"/>
        </xdr:cNvSpPr>
      </xdr:nvSpPr>
      <xdr:spPr bwMode="auto">
        <a:xfrm>
          <a:off x="3533775"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33</xdr:row>
      <xdr:rowOff>0</xdr:rowOff>
    </xdr:from>
    <xdr:to>
      <xdr:col>12</xdr:col>
      <xdr:colOff>9525</xdr:colOff>
      <xdr:row>33</xdr:row>
      <xdr:rowOff>0</xdr:rowOff>
    </xdr:to>
    <xdr:sp macro="" textlink="">
      <xdr:nvSpPr>
        <xdr:cNvPr id="70" name="Line 79">
          <a:extLst>
            <a:ext uri="{FF2B5EF4-FFF2-40B4-BE49-F238E27FC236}">
              <a16:creationId xmlns:a16="http://schemas.microsoft.com/office/drawing/2014/main" id="{00000000-0008-0000-0C00-000046000000}"/>
            </a:ext>
          </a:extLst>
        </xdr:cNvPr>
        <xdr:cNvSpPr>
          <a:spLocks noChangeShapeType="1"/>
        </xdr:cNvSpPr>
      </xdr:nvSpPr>
      <xdr:spPr bwMode="auto">
        <a:xfrm>
          <a:off x="4181475" y="48291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33</xdr:row>
      <xdr:rowOff>0</xdr:rowOff>
    </xdr:from>
    <xdr:to>
      <xdr:col>13</xdr:col>
      <xdr:colOff>9525</xdr:colOff>
      <xdr:row>33</xdr:row>
      <xdr:rowOff>0</xdr:rowOff>
    </xdr:to>
    <xdr:sp macro="" textlink="">
      <xdr:nvSpPr>
        <xdr:cNvPr id="71" name="Line 80">
          <a:extLst>
            <a:ext uri="{FF2B5EF4-FFF2-40B4-BE49-F238E27FC236}">
              <a16:creationId xmlns:a16="http://schemas.microsoft.com/office/drawing/2014/main" id="{00000000-0008-0000-0C00-000047000000}"/>
            </a:ext>
          </a:extLst>
        </xdr:cNvPr>
        <xdr:cNvSpPr>
          <a:spLocks noChangeShapeType="1"/>
        </xdr:cNvSpPr>
      </xdr:nvSpPr>
      <xdr:spPr bwMode="auto">
        <a:xfrm>
          <a:off x="4848225"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33</xdr:row>
      <xdr:rowOff>0</xdr:rowOff>
    </xdr:from>
    <xdr:to>
      <xdr:col>14</xdr:col>
      <xdr:colOff>9525</xdr:colOff>
      <xdr:row>33</xdr:row>
      <xdr:rowOff>0</xdr:rowOff>
    </xdr:to>
    <xdr:sp macro="" textlink="">
      <xdr:nvSpPr>
        <xdr:cNvPr id="72" name="Line 81">
          <a:extLst>
            <a:ext uri="{FF2B5EF4-FFF2-40B4-BE49-F238E27FC236}">
              <a16:creationId xmlns:a16="http://schemas.microsoft.com/office/drawing/2014/main" id="{00000000-0008-0000-0C00-000048000000}"/>
            </a:ext>
          </a:extLst>
        </xdr:cNvPr>
        <xdr:cNvSpPr>
          <a:spLocks noChangeShapeType="1"/>
        </xdr:cNvSpPr>
      </xdr:nvSpPr>
      <xdr:spPr bwMode="auto">
        <a:xfrm>
          <a:off x="5495925" y="48291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38</xdr:row>
      <xdr:rowOff>0</xdr:rowOff>
    </xdr:from>
    <xdr:to>
      <xdr:col>6</xdr:col>
      <xdr:colOff>9525</xdr:colOff>
      <xdr:row>38</xdr:row>
      <xdr:rowOff>0</xdr:rowOff>
    </xdr:to>
    <xdr:sp macro="" textlink="">
      <xdr:nvSpPr>
        <xdr:cNvPr id="73" name="Line 82">
          <a:extLst>
            <a:ext uri="{FF2B5EF4-FFF2-40B4-BE49-F238E27FC236}">
              <a16:creationId xmlns:a16="http://schemas.microsoft.com/office/drawing/2014/main" id="{00000000-0008-0000-0C00-000049000000}"/>
            </a:ext>
          </a:extLst>
        </xdr:cNvPr>
        <xdr:cNvSpPr>
          <a:spLocks noChangeShapeType="1"/>
        </xdr:cNvSpPr>
      </xdr:nvSpPr>
      <xdr:spPr bwMode="auto">
        <a:xfrm>
          <a:off x="495300" y="54959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38</xdr:row>
      <xdr:rowOff>0</xdr:rowOff>
    </xdr:from>
    <xdr:to>
      <xdr:col>7</xdr:col>
      <xdr:colOff>9525</xdr:colOff>
      <xdr:row>38</xdr:row>
      <xdr:rowOff>0</xdr:rowOff>
    </xdr:to>
    <xdr:sp macro="" textlink="">
      <xdr:nvSpPr>
        <xdr:cNvPr id="74" name="Line 83">
          <a:extLst>
            <a:ext uri="{FF2B5EF4-FFF2-40B4-BE49-F238E27FC236}">
              <a16:creationId xmlns:a16="http://schemas.microsoft.com/office/drawing/2014/main" id="{00000000-0008-0000-0C00-00004A000000}"/>
            </a:ext>
          </a:extLst>
        </xdr:cNvPr>
        <xdr:cNvSpPr>
          <a:spLocks noChangeShapeType="1"/>
        </xdr:cNvSpPr>
      </xdr:nvSpPr>
      <xdr:spPr bwMode="auto">
        <a:xfrm>
          <a:off x="1066800"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38</xdr:row>
      <xdr:rowOff>0</xdr:rowOff>
    </xdr:from>
    <xdr:to>
      <xdr:col>8</xdr:col>
      <xdr:colOff>9525</xdr:colOff>
      <xdr:row>38</xdr:row>
      <xdr:rowOff>0</xdr:rowOff>
    </xdr:to>
    <xdr:sp macro="" textlink="">
      <xdr:nvSpPr>
        <xdr:cNvPr id="75" name="Line 84">
          <a:extLst>
            <a:ext uri="{FF2B5EF4-FFF2-40B4-BE49-F238E27FC236}">
              <a16:creationId xmlns:a16="http://schemas.microsoft.com/office/drawing/2014/main" id="{00000000-0008-0000-0C00-00004B000000}"/>
            </a:ext>
          </a:extLst>
        </xdr:cNvPr>
        <xdr:cNvSpPr>
          <a:spLocks noChangeShapeType="1"/>
        </xdr:cNvSpPr>
      </xdr:nvSpPr>
      <xdr:spPr bwMode="auto">
        <a:xfrm>
          <a:off x="1714500" y="5495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38</xdr:row>
      <xdr:rowOff>0</xdr:rowOff>
    </xdr:from>
    <xdr:to>
      <xdr:col>9</xdr:col>
      <xdr:colOff>9525</xdr:colOff>
      <xdr:row>38</xdr:row>
      <xdr:rowOff>0</xdr:rowOff>
    </xdr:to>
    <xdr:sp macro="" textlink="">
      <xdr:nvSpPr>
        <xdr:cNvPr id="76" name="Line 85">
          <a:extLst>
            <a:ext uri="{FF2B5EF4-FFF2-40B4-BE49-F238E27FC236}">
              <a16:creationId xmlns:a16="http://schemas.microsoft.com/office/drawing/2014/main" id="{00000000-0008-0000-0C00-00004C000000}"/>
            </a:ext>
          </a:extLst>
        </xdr:cNvPr>
        <xdr:cNvSpPr>
          <a:spLocks noChangeShapeType="1"/>
        </xdr:cNvSpPr>
      </xdr:nvSpPr>
      <xdr:spPr bwMode="auto">
        <a:xfrm>
          <a:off x="2381250"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38</xdr:row>
      <xdr:rowOff>0</xdr:rowOff>
    </xdr:from>
    <xdr:to>
      <xdr:col>10</xdr:col>
      <xdr:colOff>9525</xdr:colOff>
      <xdr:row>38</xdr:row>
      <xdr:rowOff>0</xdr:rowOff>
    </xdr:to>
    <xdr:sp macro="" textlink="">
      <xdr:nvSpPr>
        <xdr:cNvPr id="77" name="Line 86">
          <a:extLst>
            <a:ext uri="{FF2B5EF4-FFF2-40B4-BE49-F238E27FC236}">
              <a16:creationId xmlns:a16="http://schemas.microsoft.com/office/drawing/2014/main" id="{00000000-0008-0000-0C00-00004D000000}"/>
            </a:ext>
          </a:extLst>
        </xdr:cNvPr>
        <xdr:cNvSpPr>
          <a:spLocks noChangeShapeType="1"/>
        </xdr:cNvSpPr>
      </xdr:nvSpPr>
      <xdr:spPr bwMode="auto">
        <a:xfrm>
          <a:off x="3028950" y="54959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38</xdr:row>
      <xdr:rowOff>0</xdr:rowOff>
    </xdr:from>
    <xdr:to>
      <xdr:col>11</xdr:col>
      <xdr:colOff>9525</xdr:colOff>
      <xdr:row>38</xdr:row>
      <xdr:rowOff>0</xdr:rowOff>
    </xdr:to>
    <xdr:sp macro="" textlink="">
      <xdr:nvSpPr>
        <xdr:cNvPr id="78" name="Line 87">
          <a:extLst>
            <a:ext uri="{FF2B5EF4-FFF2-40B4-BE49-F238E27FC236}">
              <a16:creationId xmlns:a16="http://schemas.microsoft.com/office/drawing/2014/main" id="{00000000-0008-0000-0C00-00004E000000}"/>
            </a:ext>
          </a:extLst>
        </xdr:cNvPr>
        <xdr:cNvSpPr>
          <a:spLocks noChangeShapeType="1"/>
        </xdr:cNvSpPr>
      </xdr:nvSpPr>
      <xdr:spPr bwMode="auto">
        <a:xfrm>
          <a:off x="3533775"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38</xdr:row>
      <xdr:rowOff>0</xdr:rowOff>
    </xdr:from>
    <xdr:to>
      <xdr:col>12</xdr:col>
      <xdr:colOff>9525</xdr:colOff>
      <xdr:row>38</xdr:row>
      <xdr:rowOff>0</xdr:rowOff>
    </xdr:to>
    <xdr:sp macro="" textlink="">
      <xdr:nvSpPr>
        <xdr:cNvPr id="79" name="Line 88">
          <a:extLst>
            <a:ext uri="{FF2B5EF4-FFF2-40B4-BE49-F238E27FC236}">
              <a16:creationId xmlns:a16="http://schemas.microsoft.com/office/drawing/2014/main" id="{00000000-0008-0000-0C00-00004F000000}"/>
            </a:ext>
          </a:extLst>
        </xdr:cNvPr>
        <xdr:cNvSpPr>
          <a:spLocks noChangeShapeType="1"/>
        </xdr:cNvSpPr>
      </xdr:nvSpPr>
      <xdr:spPr bwMode="auto">
        <a:xfrm>
          <a:off x="4181475" y="5495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38</xdr:row>
      <xdr:rowOff>0</xdr:rowOff>
    </xdr:from>
    <xdr:to>
      <xdr:col>13</xdr:col>
      <xdr:colOff>9525</xdr:colOff>
      <xdr:row>38</xdr:row>
      <xdr:rowOff>0</xdr:rowOff>
    </xdr:to>
    <xdr:sp macro="" textlink="">
      <xdr:nvSpPr>
        <xdr:cNvPr id="80" name="Line 89">
          <a:extLst>
            <a:ext uri="{FF2B5EF4-FFF2-40B4-BE49-F238E27FC236}">
              <a16:creationId xmlns:a16="http://schemas.microsoft.com/office/drawing/2014/main" id="{00000000-0008-0000-0C00-000050000000}"/>
            </a:ext>
          </a:extLst>
        </xdr:cNvPr>
        <xdr:cNvSpPr>
          <a:spLocks noChangeShapeType="1"/>
        </xdr:cNvSpPr>
      </xdr:nvSpPr>
      <xdr:spPr bwMode="auto">
        <a:xfrm>
          <a:off x="4848225"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38</xdr:row>
      <xdr:rowOff>0</xdr:rowOff>
    </xdr:from>
    <xdr:to>
      <xdr:col>14</xdr:col>
      <xdr:colOff>9525</xdr:colOff>
      <xdr:row>38</xdr:row>
      <xdr:rowOff>0</xdr:rowOff>
    </xdr:to>
    <xdr:sp macro="" textlink="">
      <xdr:nvSpPr>
        <xdr:cNvPr id="81" name="Line 90">
          <a:extLst>
            <a:ext uri="{FF2B5EF4-FFF2-40B4-BE49-F238E27FC236}">
              <a16:creationId xmlns:a16="http://schemas.microsoft.com/office/drawing/2014/main" id="{00000000-0008-0000-0C00-000051000000}"/>
            </a:ext>
          </a:extLst>
        </xdr:cNvPr>
        <xdr:cNvSpPr>
          <a:spLocks noChangeShapeType="1"/>
        </xdr:cNvSpPr>
      </xdr:nvSpPr>
      <xdr:spPr bwMode="auto">
        <a:xfrm>
          <a:off x="5495925" y="54959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43</xdr:row>
      <xdr:rowOff>0</xdr:rowOff>
    </xdr:from>
    <xdr:to>
      <xdr:col>6</xdr:col>
      <xdr:colOff>9525</xdr:colOff>
      <xdr:row>43</xdr:row>
      <xdr:rowOff>0</xdr:rowOff>
    </xdr:to>
    <xdr:sp macro="" textlink="">
      <xdr:nvSpPr>
        <xdr:cNvPr id="82" name="Line 91">
          <a:extLst>
            <a:ext uri="{FF2B5EF4-FFF2-40B4-BE49-F238E27FC236}">
              <a16:creationId xmlns:a16="http://schemas.microsoft.com/office/drawing/2014/main" id="{00000000-0008-0000-0C00-000052000000}"/>
            </a:ext>
          </a:extLst>
        </xdr:cNvPr>
        <xdr:cNvSpPr>
          <a:spLocks noChangeShapeType="1"/>
        </xdr:cNvSpPr>
      </xdr:nvSpPr>
      <xdr:spPr bwMode="auto">
        <a:xfrm>
          <a:off x="495300" y="61626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43</xdr:row>
      <xdr:rowOff>0</xdr:rowOff>
    </xdr:from>
    <xdr:to>
      <xdr:col>7</xdr:col>
      <xdr:colOff>9525</xdr:colOff>
      <xdr:row>43</xdr:row>
      <xdr:rowOff>0</xdr:rowOff>
    </xdr:to>
    <xdr:sp macro="" textlink="">
      <xdr:nvSpPr>
        <xdr:cNvPr id="83" name="Line 92">
          <a:extLst>
            <a:ext uri="{FF2B5EF4-FFF2-40B4-BE49-F238E27FC236}">
              <a16:creationId xmlns:a16="http://schemas.microsoft.com/office/drawing/2014/main" id="{00000000-0008-0000-0C00-000053000000}"/>
            </a:ext>
          </a:extLst>
        </xdr:cNvPr>
        <xdr:cNvSpPr>
          <a:spLocks noChangeShapeType="1"/>
        </xdr:cNvSpPr>
      </xdr:nvSpPr>
      <xdr:spPr bwMode="auto">
        <a:xfrm>
          <a:off x="1066800"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43</xdr:row>
      <xdr:rowOff>0</xdr:rowOff>
    </xdr:from>
    <xdr:to>
      <xdr:col>8</xdr:col>
      <xdr:colOff>9525</xdr:colOff>
      <xdr:row>43</xdr:row>
      <xdr:rowOff>0</xdr:rowOff>
    </xdr:to>
    <xdr:sp macro="" textlink="">
      <xdr:nvSpPr>
        <xdr:cNvPr id="84" name="Line 93">
          <a:extLst>
            <a:ext uri="{FF2B5EF4-FFF2-40B4-BE49-F238E27FC236}">
              <a16:creationId xmlns:a16="http://schemas.microsoft.com/office/drawing/2014/main" id="{00000000-0008-0000-0C00-000054000000}"/>
            </a:ext>
          </a:extLst>
        </xdr:cNvPr>
        <xdr:cNvSpPr>
          <a:spLocks noChangeShapeType="1"/>
        </xdr:cNvSpPr>
      </xdr:nvSpPr>
      <xdr:spPr bwMode="auto">
        <a:xfrm>
          <a:off x="1714500" y="6162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43</xdr:row>
      <xdr:rowOff>0</xdr:rowOff>
    </xdr:from>
    <xdr:to>
      <xdr:col>9</xdr:col>
      <xdr:colOff>9525</xdr:colOff>
      <xdr:row>43</xdr:row>
      <xdr:rowOff>0</xdr:rowOff>
    </xdr:to>
    <xdr:sp macro="" textlink="">
      <xdr:nvSpPr>
        <xdr:cNvPr id="85" name="Line 94">
          <a:extLst>
            <a:ext uri="{FF2B5EF4-FFF2-40B4-BE49-F238E27FC236}">
              <a16:creationId xmlns:a16="http://schemas.microsoft.com/office/drawing/2014/main" id="{00000000-0008-0000-0C00-000055000000}"/>
            </a:ext>
          </a:extLst>
        </xdr:cNvPr>
        <xdr:cNvSpPr>
          <a:spLocks noChangeShapeType="1"/>
        </xdr:cNvSpPr>
      </xdr:nvSpPr>
      <xdr:spPr bwMode="auto">
        <a:xfrm>
          <a:off x="2381250"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43</xdr:row>
      <xdr:rowOff>0</xdr:rowOff>
    </xdr:from>
    <xdr:to>
      <xdr:col>10</xdr:col>
      <xdr:colOff>9525</xdr:colOff>
      <xdr:row>43</xdr:row>
      <xdr:rowOff>0</xdr:rowOff>
    </xdr:to>
    <xdr:sp macro="" textlink="">
      <xdr:nvSpPr>
        <xdr:cNvPr id="86" name="Line 95">
          <a:extLst>
            <a:ext uri="{FF2B5EF4-FFF2-40B4-BE49-F238E27FC236}">
              <a16:creationId xmlns:a16="http://schemas.microsoft.com/office/drawing/2014/main" id="{00000000-0008-0000-0C00-000056000000}"/>
            </a:ext>
          </a:extLst>
        </xdr:cNvPr>
        <xdr:cNvSpPr>
          <a:spLocks noChangeShapeType="1"/>
        </xdr:cNvSpPr>
      </xdr:nvSpPr>
      <xdr:spPr bwMode="auto">
        <a:xfrm>
          <a:off x="3028950" y="61626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43</xdr:row>
      <xdr:rowOff>0</xdr:rowOff>
    </xdr:from>
    <xdr:to>
      <xdr:col>11</xdr:col>
      <xdr:colOff>9525</xdr:colOff>
      <xdr:row>43</xdr:row>
      <xdr:rowOff>0</xdr:rowOff>
    </xdr:to>
    <xdr:sp macro="" textlink="">
      <xdr:nvSpPr>
        <xdr:cNvPr id="87" name="Line 96">
          <a:extLst>
            <a:ext uri="{FF2B5EF4-FFF2-40B4-BE49-F238E27FC236}">
              <a16:creationId xmlns:a16="http://schemas.microsoft.com/office/drawing/2014/main" id="{00000000-0008-0000-0C00-000057000000}"/>
            </a:ext>
          </a:extLst>
        </xdr:cNvPr>
        <xdr:cNvSpPr>
          <a:spLocks noChangeShapeType="1"/>
        </xdr:cNvSpPr>
      </xdr:nvSpPr>
      <xdr:spPr bwMode="auto">
        <a:xfrm>
          <a:off x="3533775"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43</xdr:row>
      <xdr:rowOff>0</xdr:rowOff>
    </xdr:from>
    <xdr:to>
      <xdr:col>12</xdr:col>
      <xdr:colOff>9525</xdr:colOff>
      <xdr:row>43</xdr:row>
      <xdr:rowOff>0</xdr:rowOff>
    </xdr:to>
    <xdr:sp macro="" textlink="">
      <xdr:nvSpPr>
        <xdr:cNvPr id="88" name="Line 97">
          <a:extLst>
            <a:ext uri="{FF2B5EF4-FFF2-40B4-BE49-F238E27FC236}">
              <a16:creationId xmlns:a16="http://schemas.microsoft.com/office/drawing/2014/main" id="{00000000-0008-0000-0C00-000058000000}"/>
            </a:ext>
          </a:extLst>
        </xdr:cNvPr>
        <xdr:cNvSpPr>
          <a:spLocks noChangeShapeType="1"/>
        </xdr:cNvSpPr>
      </xdr:nvSpPr>
      <xdr:spPr bwMode="auto">
        <a:xfrm>
          <a:off x="4181475" y="6162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43</xdr:row>
      <xdr:rowOff>0</xdr:rowOff>
    </xdr:from>
    <xdr:to>
      <xdr:col>13</xdr:col>
      <xdr:colOff>9525</xdr:colOff>
      <xdr:row>43</xdr:row>
      <xdr:rowOff>0</xdr:rowOff>
    </xdr:to>
    <xdr:sp macro="" textlink="">
      <xdr:nvSpPr>
        <xdr:cNvPr id="89" name="Line 98">
          <a:extLst>
            <a:ext uri="{FF2B5EF4-FFF2-40B4-BE49-F238E27FC236}">
              <a16:creationId xmlns:a16="http://schemas.microsoft.com/office/drawing/2014/main" id="{00000000-0008-0000-0C00-000059000000}"/>
            </a:ext>
          </a:extLst>
        </xdr:cNvPr>
        <xdr:cNvSpPr>
          <a:spLocks noChangeShapeType="1"/>
        </xdr:cNvSpPr>
      </xdr:nvSpPr>
      <xdr:spPr bwMode="auto">
        <a:xfrm>
          <a:off x="4848225"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43</xdr:row>
      <xdr:rowOff>0</xdr:rowOff>
    </xdr:from>
    <xdr:to>
      <xdr:col>14</xdr:col>
      <xdr:colOff>9525</xdr:colOff>
      <xdr:row>43</xdr:row>
      <xdr:rowOff>0</xdr:rowOff>
    </xdr:to>
    <xdr:sp macro="" textlink="">
      <xdr:nvSpPr>
        <xdr:cNvPr id="90" name="Line 99">
          <a:extLst>
            <a:ext uri="{FF2B5EF4-FFF2-40B4-BE49-F238E27FC236}">
              <a16:creationId xmlns:a16="http://schemas.microsoft.com/office/drawing/2014/main" id="{00000000-0008-0000-0C00-00005A000000}"/>
            </a:ext>
          </a:extLst>
        </xdr:cNvPr>
        <xdr:cNvSpPr>
          <a:spLocks noChangeShapeType="1"/>
        </xdr:cNvSpPr>
      </xdr:nvSpPr>
      <xdr:spPr bwMode="auto">
        <a:xfrm>
          <a:off x="5495925" y="61626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48</xdr:row>
      <xdr:rowOff>0</xdr:rowOff>
    </xdr:from>
    <xdr:to>
      <xdr:col>6</xdr:col>
      <xdr:colOff>9525</xdr:colOff>
      <xdr:row>48</xdr:row>
      <xdr:rowOff>0</xdr:rowOff>
    </xdr:to>
    <xdr:sp macro="" textlink="">
      <xdr:nvSpPr>
        <xdr:cNvPr id="91" name="Line 100">
          <a:extLst>
            <a:ext uri="{FF2B5EF4-FFF2-40B4-BE49-F238E27FC236}">
              <a16:creationId xmlns:a16="http://schemas.microsoft.com/office/drawing/2014/main" id="{00000000-0008-0000-0C00-00005B000000}"/>
            </a:ext>
          </a:extLst>
        </xdr:cNvPr>
        <xdr:cNvSpPr>
          <a:spLocks noChangeShapeType="1"/>
        </xdr:cNvSpPr>
      </xdr:nvSpPr>
      <xdr:spPr bwMode="auto">
        <a:xfrm>
          <a:off x="495300" y="68294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48</xdr:row>
      <xdr:rowOff>0</xdr:rowOff>
    </xdr:from>
    <xdr:to>
      <xdr:col>7</xdr:col>
      <xdr:colOff>9525</xdr:colOff>
      <xdr:row>48</xdr:row>
      <xdr:rowOff>0</xdr:rowOff>
    </xdr:to>
    <xdr:sp macro="" textlink="">
      <xdr:nvSpPr>
        <xdr:cNvPr id="92" name="Line 101">
          <a:extLst>
            <a:ext uri="{FF2B5EF4-FFF2-40B4-BE49-F238E27FC236}">
              <a16:creationId xmlns:a16="http://schemas.microsoft.com/office/drawing/2014/main" id="{00000000-0008-0000-0C00-00005C000000}"/>
            </a:ext>
          </a:extLst>
        </xdr:cNvPr>
        <xdr:cNvSpPr>
          <a:spLocks noChangeShapeType="1"/>
        </xdr:cNvSpPr>
      </xdr:nvSpPr>
      <xdr:spPr bwMode="auto">
        <a:xfrm>
          <a:off x="1066800"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48</xdr:row>
      <xdr:rowOff>0</xdr:rowOff>
    </xdr:from>
    <xdr:to>
      <xdr:col>8</xdr:col>
      <xdr:colOff>9525</xdr:colOff>
      <xdr:row>48</xdr:row>
      <xdr:rowOff>0</xdr:rowOff>
    </xdr:to>
    <xdr:sp macro="" textlink="">
      <xdr:nvSpPr>
        <xdr:cNvPr id="93" name="Line 102">
          <a:extLst>
            <a:ext uri="{FF2B5EF4-FFF2-40B4-BE49-F238E27FC236}">
              <a16:creationId xmlns:a16="http://schemas.microsoft.com/office/drawing/2014/main" id="{00000000-0008-0000-0C00-00005D000000}"/>
            </a:ext>
          </a:extLst>
        </xdr:cNvPr>
        <xdr:cNvSpPr>
          <a:spLocks noChangeShapeType="1"/>
        </xdr:cNvSpPr>
      </xdr:nvSpPr>
      <xdr:spPr bwMode="auto">
        <a:xfrm>
          <a:off x="1714500" y="6829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48</xdr:row>
      <xdr:rowOff>0</xdr:rowOff>
    </xdr:from>
    <xdr:to>
      <xdr:col>9</xdr:col>
      <xdr:colOff>9525</xdr:colOff>
      <xdr:row>48</xdr:row>
      <xdr:rowOff>0</xdr:rowOff>
    </xdr:to>
    <xdr:sp macro="" textlink="">
      <xdr:nvSpPr>
        <xdr:cNvPr id="94" name="Line 103">
          <a:extLst>
            <a:ext uri="{FF2B5EF4-FFF2-40B4-BE49-F238E27FC236}">
              <a16:creationId xmlns:a16="http://schemas.microsoft.com/office/drawing/2014/main" id="{00000000-0008-0000-0C00-00005E000000}"/>
            </a:ext>
          </a:extLst>
        </xdr:cNvPr>
        <xdr:cNvSpPr>
          <a:spLocks noChangeShapeType="1"/>
        </xdr:cNvSpPr>
      </xdr:nvSpPr>
      <xdr:spPr bwMode="auto">
        <a:xfrm>
          <a:off x="2381250"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48</xdr:row>
      <xdr:rowOff>0</xdr:rowOff>
    </xdr:from>
    <xdr:to>
      <xdr:col>10</xdr:col>
      <xdr:colOff>9525</xdr:colOff>
      <xdr:row>48</xdr:row>
      <xdr:rowOff>0</xdr:rowOff>
    </xdr:to>
    <xdr:sp macro="" textlink="">
      <xdr:nvSpPr>
        <xdr:cNvPr id="95" name="Line 104">
          <a:extLst>
            <a:ext uri="{FF2B5EF4-FFF2-40B4-BE49-F238E27FC236}">
              <a16:creationId xmlns:a16="http://schemas.microsoft.com/office/drawing/2014/main" id="{00000000-0008-0000-0C00-00005F000000}"/>
            </a:ext>
          </a:extLst>
        </xdr:cNvPr>
        <xdr:cNvSpPr>
          <a:spLocks noChangeShapeType="1"/>
        </xdr:cNvSpPr>
      </xdr:nvSpPr>
      <xdr:spPr bwMode="auto">
        <a:xfrm>
          <a:off x="3028950" y="68294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48</xdr:row>
      <xdr:rowOff>0</xdr:rowOff>
    </xdr:from>
    <xdr:to>
      <xdr:col>11</xdr:col>
      <xdr:colOff>9525</xdr:colOff>
      <xdr:row>48</xdr:row>
      <xdr:rowOff>0</xdr:rowOff>
    </xdr:to>
    <xdr:sp macro="" textlink="">
      <xdr:nvSpPr>
        <xdr:cNvPr id="96" name="Line 105">
          <a:extLst>
            <a:ext uri="{FF2B5EF4-FFF2-40B4-BE49-F238E27FC236}">
              <a16:creationId xmlns:a16="http://schemas.microsoft.com/office/drawing/2014/main" id="{00000000-0008-0000-0C00-000060000000}"/>
            </a:ext>
          </a:extLst>
        </xdr:cNvPr>
        <xdr:cNvSpPr>
          <a:spLocks noChangeShapeType="1"/>
        </xdr:cNvSpPr>
      </xdr:nvSpPr>
      <xdr:spPr bwMode="auto">
        <a:xfrm>
          <a:off x="3533775"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48</xdr:row>
      <xdr:rowOff>0</xdr:rowOff>
    </xdr:from>
    <xdr:to>
      <xdr:col>12</xdr:col>
      <xdr:colOff>9525</xdr:colOff>
      <xdr:row>48</xdr:row>
      <xdr:rowOff>0</xdr:rowOff>
    </xdr:to>
    <xdr:sp macro="" textlink="">
      <xdr:nvSpPr>
        <xdr:cNvPr id="97" name="Line 106">
          <a:extLst>
            <a:ext uri="{FF2B5EF4-FFF2-40B4-BE49-F238E27FC236}">
              <a16:creationId xmlns:a16="http://schemas.microsoft.com/office/drawing/2014/main" id="{00000000-0008-0000-0C00-000061000000}"/>
            </a:ext>
          </a:extLst>
        </xdr:cNvPr>
        <xdr:cNvSpPr>
          <a:spLocks noChangeShapeType="1"/>
        </xdr:cNvSpPr>
      </xdr:nvSpPr>
      <xdr:spPr bwMode="auto">
        <a:xfrm>
          <a:off x="4181475" y="6829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48</xdr:row>
      <xdr:rowOff>0</xdr:rowOff>
    </xdr:from>
    <xdr:to>
      <xdr:col>13</xdr:col>
      <xdr:colOff>9525</xdr:colOff>
      <xdr:row>48</xdr:row>
      <xdr:rowOff>0</xdr:rowOff>
    </xdr:to>
    <xdr:sp macro="" textlink="">
      <xdr:nvSpPr>
        <xdr:cNvPr id="98" name="Line 107">
          <a:extLst>
            <a:ext uri="{FF2B5EF4-FFF2-40B4-BE49-F238E27FC236}">
              <a16:creationId xmlns:a16="http://schemas.microsoft.com/office/drawing/2014/main" id="{00000000-0008-0000-0C00-000062000000}"/>
            </a:ext>
          </a:extLst>
        </xdr:cNvPr>
        <xdr:cNvSpPr>
          <a:spLocks noChangeShapeType="1"/>
        </xdr:cNvSpPr>
      </xdr:nvSpPr>
      <xdr:spPr bwMode="auto">
        <a:xfrm>
          <a:off x="4848225"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48</xdr:row>
      <xdr:rowOff>0</xdr:rowOff>
    </xdr:from>
    <xdr:to>
      <xdr:col>14</xdr:col>
      <xdr:colOff>9525</xdr:colOff>
      <xdr:row>48</xdr:row>
      <xdr:rowOff>0</xdr:rowOff>
    </xdr:to>
    <xdr:sp macro="" textlink="">
      <xdr:nvSpPr>
        <xdr:cNvPr id="99" name="Line 108">
          <a:extLst>
            <a:ext uri="{FF2B5EF4-FFF2-40B4-BE49-F238E27FC236}">
              <a16:creationId xmlns:a16="http://schemas.microsoft.com/office/drawing/2014/main" id="{00000000-0008-0000-0C00-000063000000}"/>
            </a:ext>
          </a:extLst>
        </xdr:cNvPr>
        <xdr:cNvSpPr>
          <a:spLocks noChangeShapeType="1"/>
        </xdr:cNvSpPr>
      </xdr:nvSpPr>
      <xdr:spPr bwMode="auto">
        <a:xfrm>
          <a:off x="5495925" y="68294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53</xdr:row>
      <xdr:rowOff>0</xdr:rowOff>
    </xdr:from>
    <xdr:to>
      <xdr:col>6</xdr:col>
      <xdr:colOff>9525</xdr:colOff>
      <xdr:row>53</xdr:row>
      <xdr:rowOff>0</xdr:rowOff>
    </xdr:to>
    <xdr:sp macro="" textlink="">
      <xdr:nvSpPr>
        <xdr:cNvPr id="100" name="Line 109">
          <a:extLst>
            <a:ext uri="{FF2B5EF4-FFF2-40B4-BE49-F238E27FC236}">
              <a16:creationId xmlns:a16="http://schemas.microsoft.com/office/drawing/2014/main" id="{00000000-0008-0000-0C00-000064000000}"/>
            </a:ext>
          </a:extLst>
        </xdr:cNvPr>
        <xdr:cNvSpPr>
          <a:spLocks noChangeShapeType="1"/>
        </xdr:cNvSpPr>
      </xdr:nvSpPr>
      <xdr:spPr bwMode="auto">
        <a:xfrm>
          <a:off x="495300" y="7248525"/>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53</xdr:row>
      <xdr:rowOff>0</xdr:rowOff>
    </xdr:from>
    <xdr:to>
      <xdr:col>7</xdr:col>
      <xdr:colOff>9525</xdr:colOff>
      <xdr:row>53</xdr:row>
      <xdr:rowOff>0</xdr:rowOff>
    </xdr:to>
    <xdr:sp macro="" textlink="">
      <xdr:nvSpPr>
        <xdr:cNvPr id="101" name="Line 110">
          <a:extLst>
            <a:ext uri="{FF2B5EF4-FFF2-40B4-BE49-F238E27FC236}">
              <a16:creationId xmlns:a16="http://schemas.microsoft.com/office/drawing/2014/main" id="{00000000-0008-0000-0C00-000065000000}"/>
            </a:ext>
          </a:extLst>
        </xdr:cNvPr>
        <xdr:cNvSpPr>
          <a:spLocks noChangeShapeType="1"/>
        </xdr:cNvSpPr>
      </xdr:nvSpPr>
      <xdr:spPr bwMode="auto">
        <a:xfrm>
          <a:off x="1066800"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53</xdr:row>
      <xdr:rowOff>0</xdr:rowOff>
    </xdr:from>
    <xdr:to>
      <xdr:col>8</xdr:col>
      <xdr:colOff>9525</xdr:colOff>
      <xdr:row>53</xdr:row>
      <xdr:rowOff>0</xdr:rowOff>
    </xdr:to>
    <xdr:sp macro="" textlink="">
      <xdr:nvSpPr>
        <xdr:cNvPr id="102" name="Line 111">
          <a:extLst>
            <a:ext uri="{FF2B5EF4-FFF2-40B4-BE49-F238E27FC236}">
              <a16:creationId xmlns:a16="http://schemas.microsoft.com/office/drawing/2014/main" id="{00000000-0008-0000-0C00-000066000000}"/>
            </a:ext>
          </a:extLst>
        </xdr:cNvPr>
        <xdr:cNvSpPr>
          <a:spLocks noChangeShapeType="1"/>
        </xdr:cNvSpPr>
      </xdr:nvSpPr>
      <xdr:spPr bwMode="auto">
        <a:xfrm>
          <a:off x="1714500" y="72485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53</xdr:row>
      <xdr:rowOff>0</xdr:rowOff>
    </xdr:from>
    <xdr:to>
      <xdr:col>9</xdr:col>
      <xdr:colOff>9525</xdr:colOff>
      <xdr:row>53</xdr:row>
      <xdr:rowOff>0</xdr:rowOff>
    </xdr:to>
    <xdr:sp macro="" textlink="">
      <xdr:nvSpPr>
        <xdr:cNvPr id="103" name="Line 112">
          <a:extLst>
            <a:ext uri="{FF2B5EF4-FFF2-40B4-BE49-F238E27FC236}">
              <a16:creationId xmlns:a16="http://schemas.microsoft.com/office/drawing/2014/main" id="{00000000-0008-0000-0C00-000067000000}"/>
            </a:ext>
          </a:extLst>
        </xdr:cNvPr>
        <xdr:cNvSpPr>
          <a:spLocks noChangeShapeType="1"/>
        </xdr:cNvSpPr>
      </xdr:nvSpPr>
      <xdr:spPr bwMode="auto">
        <a:xfrm>
          <a:off x="2381250"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53</xdr:row>
      <xdr:rowOff>0</xdr:rowOff>
    </xdr:from>
    <xdr:to>
      <xdr:col>10</xdr:col>
      <xdr:colOff>9525</xdr:colOff>
      <xdr:row>53</xdr:row>
      <xdr:rowOff>0</xdr:rowOff>
    </xdr:to>
    <xdr:sp macro="" textlink="">
      <xdr:nvSpPr>
        <xdr:cNvPr id="104" name="Line 113">
          <a:extLst>
            <a:ext uri="{FF2B5EF4-FFF2-40B4-BE49-F238E27FC236}">
              <a16:creationId xmlns:a16="http://schemas.microsoft.com/office/drawing/2014/main" id="{00000000-0008-0000-0C00-000068000000}"/>
            </a:ext>
          </a:extLst>
        </xdr:cNvPr>
        <xdr:cNvSpPr>
          <a:spLocks noChangeShapeType="1"/>
        </xdr:cNvSpPr>
      </xdr:nvSpPr>
      <xdr:spPr bwMode="auto">
        <a:xfrm>
          <a:off x="3028950" y="7248525"/>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53</xdr:row>
      <xdr:rowOff>0</xdr:rowOff>
    </xdr:from>
    <xdr:to>
      <xdr:col>11</xdr:col>
      <xdr:colOff>9525</xdr:colOff>
      <xdr:row>53</xdr:row>
      <xdr:rowOff>0</xdr:rowOff>
    </xdr:to>
    <xdr:sp macro="" textlink="">
      <xdr:nvSpPr>
        <xdr:cNvPr id="105" name="Line 114">
          <a:extLst>
            <a:ext uri="{FF2B5EF4-FFF2-40B4-BE49-F238E27FC236}">
              <a16:creationId xmlns:a16="http://schemas.microsoft.com/office/drawing/2014/main" id="{00000000-0008-0000-0C00-000069000000}"/>
            </a:ext>
          </a:extLst>
        </xdr:cNvPr>
        <xdr:cNvSpPr>
          <a:spLocks noChangeShapeType="1"/>
        </xdr:cNvSpPr>
      </xdr:nvSpPr>
      <xdr:spPr bwMode="auto">
        <a:xfrm>
          <a:off x="3533775"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53</xdr:row>
      <xdr:rowOff>0</xdr:rowOff>
    </xdr:from>
    <xdr:to>
      <xdr:col>12</xdr:col>
      <xdr:colOff>9525</xdr:colOff>
      <xdr:row>53</xdr:row>
      <xdr:rowOff>0</xdr:rowOff>
    </xdr:to>
    <xdr:sp macro="" textlink="">
      <xdr:nvSpPr>
        <xdr:cNvPr id="106" name="Line 115">
          <a:extLst>
            <a:ext uri="{FF2B5EF4-FFF2-40B4-BE49-F238E27FC236}">
              <a16:creationId xmlns:a16="http://schemas.microsoft.com/office/drawing/2014/main" id="{00000000-0008-0000-0C00-00006A000000}"/>
            </a:ext>
          </a:extLst>
        </xdr:cNvPr>
        <xdr:cNvSpPr>
          <a:spLocks noChangeShapeType="1"/>
        </xdr:cNvSpPr>
      </xdr:nvSpPr>
      <xdr:spPr bwMode="auto">
        <a:xfrm>
          <a:off x="4181475" y="72485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53</xdr:row>
      <xdr:rowOff>0</xdr:rowOff>
    </xdr:from>
    <xdr:to>
      <xdr:col>13</xdr:col>
      <xdr:colOff>9525</xdr:colOff>
      <xdr:row>53</xdr:row>
      <xdr:rowOff>0</xdr:rowOff>
    </xdr:to>
    <xdr:sp macro="" textlink="">
      <xdr:nvSpPr>
        <xdr:cNvPr id="107" name="Line 116">
          <a:extLst>
            <a:ext uri="{FF2B5EF4-FFF2-40B4-BE49-F238E27FC236}">
              <a16:creationId xmlns:a16="http://schemas.microsoft.com/office/drawing/2014/main" id="{00000000-0008-0000-0C00-00006B000000}"/>
            </a:ext>
          </a:extLst>
        </xdr:cNvPr>
        <xdr:cNvSpPr>
          <a:spLocks noChangeShapeType="1"/>
        </xdr:cNvSpPr>
      </xdr:nvSpPr>
      <xdr:spPr bwMode="auto">
        <a:xfrm>
          <a:off x="4848225"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53</xdr:row>
      <xdr:rowOff>0</xdr:rowOff>
    </xdr:from>
    <xdr:to>
      <xdr:col>14</xdr:col>
      <xdr:colOff>9525</xdr:colOff>
      <xdr:row>53</xdr:row>
      <xdr:rowOff>0</xdr:rowOff>
    </xdr:to>
    <xdr:sp macro="" textlink="">
      <xdr:nvSpPr>
        <xdr:cNvPr id="108" name="Line 117">
          <a:extLst>
            <a:ext uri="{FF2B5EF4-FFF2-40B4-BE49-F238E27FC236}">
              <a16:creationId xmlns:a16="http://schemas.microsoft.com/office/drawing/2014/main" id="{00000000-0008-0000-0C00-00006C000000}"/>
            </a:ext>
          </a:extLst>
        </xdr:cNvPr>
        <xdr:cNvSpPr>
          <a:spLocks noChangeShapeType="1"/>
        </xdr:cNvSpPr>
      </xdr:nvSpPr>
      <xdr:spPr bwMode="auto">
        <a:xfrm>
          <a:off x="5495925" y="7248525"/>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59</xdr:row>
      <xdr:rowOff>0</xdr:rowOff>
    </xdr:from>
    <xdr:to>
      <xdr:col>6</xdr:col>
      <xdr:colOff>9525</xdr:colOff>
      <xdr:row>59</xdr:row>
      <xdr:rowOff>0</xdr:rowOff>
    </xdr:to>
    <xdr:sp macro="" textlink="">
      <xdr:nvSpPr>
        <xdr:cNvPr id="109" name="Line 118">
          <a:extLst>
            <a:ext uri="{FF2B5EF4-FFF2-40B4-BE49-F238E27FC236}">
              <a16:creationId xmlns:a16="http://schemas.microsoft.com/office/drawing/2014/main" id="{00000000-0008-0000-0C00-00006D000000}"/>
            </a:ext>
          </a:extLst>
        </xdr:cNvPr>
        <xdr:cNvSpPr>
          <a:spLocks noChangeShapeType="1"/>
        </xdr:cNvSpPr>
      </xdr:nvSpPr>
      <xdr:spPr bwMode="auto">
        <a:xfrm>
          <a:off x="495300" y="79533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59</xdr:row>
      <xdr:rowOff>0</xdr:rowOff>
    </xdr:from>
    <xdr:to>
      <xdr:col>7</xdr:col>
      <xdr:colOff>9525</xdr:colOff>
      <xdr:row>59</xdr:row>
      <xdr:rowOff>0</xdr:rowOff>
    </xdr:to>
    <xdr:sp macro="" textlink="">
      <xdr:nvSpPr>
        <xdr:cNvPr id="110" name="Line 119">
          <a:extLst>
            <a:ext uri="{FF2B5EF4-FFF2-40B4-BE49-F238E27FC236}">
              <a16:creationId xmlns:a16="http://schemas.microsoft.com/office/drawing/2014/main" id="{00000000-0008-0000-0C00-00006E000000}"/>
            </a:ext>
          </a:extLst>
        </xdr:cNvPr>
        <xdr:cNvSpPr>
          <a:spLocks noChangeShapeType="1"/>
        </xdr:cNvSpPr>
      </xdr:nvSpPr>
      <xdr:spPr bwMode="auto">
        <a:xfrm>
          <a:off x="1066800"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59</xdr:row>
      <xdr:rowOff>0</xdr:rowOff>
    </xdr:from>
    <xdr:to>
      <xdr:col>8</xdr:col>
      <xdr:colOff>9525</xdr:colOff>
      <xdr:row>59</xdr:row>
      <xdr:rowOff>0</xdr:rowOff>
    </xdr:to>
    <xdr:sp macro="" textlink="">
      <xdr:nvSpPr>
        <xdr:cNvPr id="111" name="Line 120">
          <a:extLst>
            <a:ext uri="{FF2B5EF4-FFF2-40B4-BE49-F238E27FC236}">
              <a16:creationId xmlns:a16="http://schemas.microsoft.com/office/drawing/2014/main" id="{00000000-0008-0000-0C00-00006F000000}"/>
            </a:ext>
          </a:extLst>
        </xdr:cNvPr>
        <xdr:cNvSpPr>
          <a:spLocks noChangeShapeType="1"/>
        </xdr:cNvSpPr>
      </xdr:nvSpPr>
      <xdr:spPr bwMode="auto">
        <a:xfrm>
          <a:off x="1714500" y="79533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59</xdr:row>
      <xdr:rowOff>0</xdr:rowOff>
    </xdr:from>
    <xdr:to>
      <xdr:col>9</xdr:col>
      <xdr:colOff>9525</xdr:colOff>
      <xdr:row>59</xdr:row>
      <xdr:rowOff>0</xdr:rowOff>
    </xdr:to>
    <xdr:sp macro="" textlink="">
      <xdr:nvSpPr>
        <xdr:cNvPr id="112" name="Line 121">
          <a:extLst>
            <a:ext uri="{FF2B5EF4-FFF2-40B4-BE49-F238E27FC236}">
              <a16:creationId xmlns:a16="http://schemas.microsoft.com/office/drawing/2014/main" id="{00000000-0008-0000-0C00-000070000000}"/>
            </a:ext>
          </a:extLst>
        </xdr:cNvPr>
        <xdr:cNvSpPr>
          <a:spLocks noChangeShapeType="1"/>
        </xdr:cNvSpPr>
      </xdr:nvSpPr>
      <xdr:spPr bwMode="auto">
        <a:xfrm>
          <a:off x="2381250"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59</xdr:row>
      <xdr:rowOff>0</xdr:rowOff>
    </xdr:from>
    <xdr:to>
      <xdr:col>10</xdr:col>
      <xdr:colOff>9525</xdr:colOff>
      <xdr:row>59</xdr:row>
      <xdr:rowOff>0</xdr:rowOff>
    </xdr:to>
    <xdr:sp macro="" textlink="">
      <xdr:nvSpPr>
        <xdr:cNvPr id="113" name="Line 122">
          <a:extLst>
            <a:ext uri="{FF2B5EF4-FFF2-40B4-BE49-F238E27FC236}">
              <a16:creationId xmlns:a16="http://schemas.microsoft.com/office/drawing/2014/main" id="{00000000-0008-0000-0C00-000071000000}"/>
            </a:ext>
          </a:extLst>
        </xdr:cNvPr>
        <xdr:cNvSpPr>
          <a:spLocks noChangeShapeType="1"/>
        </xdr:cNvSpPr>
      </xdr:nvSpPr>
      <xdr:spPr bwMode="auto">
        <a:xfrm>
          <a:off x="3028950" y="79533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59</xdr:row>
      <xdr:rowOff>0</xdr:rowOff>
    </xdr:from>
    <xdr:to>
      <xdr:col>11</xdr:col>
      <xdr:colOff>9525</xdr:colOff>
      <xdr:row>59</xdr:row>
      <xdr:rowOff>0</xdr:rowOff>
    </xdr:to>
    <xdr:sp macro="" textlink="">
      <xdr:nvSpPr>
        <xdr:cNvPr id="114" name="Line 123">
          <a:extLst>
            <a:ext uri="{FF2B5EF4-FFF2-40B4-BE49-F238E27FC236}">
              <a16:creationId xmlns:a16="http://schemas.microsoft.com/office/drawing/2014/main" id="{00000000-0008-0000-0C00-000072000000}"/>
            </a:ext>
          </a:extLst>
        </xdr:cNvPr>
        <xdr:cNvSpPr>
          <a:spLocks noChangeShapeType="1"/>
        </xdr:cNvSpPr>
      </xdr:nvSpPr>
      <xdr:spPr bwMode="auto">
        <a:xfrm>
          <a:off x="3533775"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59</xdr:row>
      <xdr:rowOff>0</xdr:rowOff>
    </xdr:from>
    <xdr:to>
      <xdr:col>12</xdr:col>
      <xdr:colOff>9525</xdr:colOff>
      <xdr:row>59</xdr:row>
      <xdr:rowOff>0</xdr:rowOff>
    </xdr:to>
    <xdr:sp macro="" textlink="">
      <xdr:nvSpPr>
        <xdr:cNvPr id="115" name="Line 124">
          <a:extLst>
            <a:ext uri="{FF2B5EF4-FFF2-40B4-BE49-F238E27FC236}">
              <a16:creationId xmlns:a16="http://schemas.microsoft.com/office/drawing/2014/main" id="{00000000-0008-0000-0C00-000073000000}"/>
            </a:ext>
          </a:extLst>
        </xdr:cNvPr>
        <xdr:cNvSpPr>
          <a:spLocks noChangeShapeType="1"/>
        </xdr:cNvSpPr>
      </xdr:nvSpPr>
      <xdr:spPr bwMode="auto">
        <a:xfrm>
          <a:off x="4181475" y="79533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59</xdr:row>
      <xdr:rowOff>0</xdr:rowOff>
    </xdr:from>
    <xdr:to>
      <xdr:col>13</xdr:col>
      <xdr:colOff>9525</xdr:colOff>
      <xdr:row>59</xdr:row>
      <xdr:rowOff>0</xdr:rowOff>
    </xdr:to>
    <xdr:sp macro="" textlink="">
      <xdr:nvSpPr>
        <xdr:cNvPr id="116" name="Line 125">
          <a:extLst>
            <a:ext uri="{FF2B5EF4-FFF2-40B4-BE49-F238E27FC236}">
              <a16:creationId xmlns:a16="http://schemas.microsoft.com/office/drawing/2014/main" id="{00000000-0008-0000-0C00-000074000000}"/>
            </a:ext>
          </a:extLst>
        </xdr:cNvPr>
        <xdr:cNvSpPr>
          <a:spLocks noChangeShapeType="1"/>
        </xdr:cNvSpPr>
      </xdr:nvSpPr>
      <xdr:spPr bwMode="auto">
        <a:xfrm>
          <a:off x="4848225"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59</xdr:row>
      <xdr:rowOff>0</xdr:rowOff>
    </xdr:from>
    <xdr:to>
      <xdr:col>14</xdr:col>
      <xdr:colOff>9525</xdr:colOff>
      <xdr:row>59</xdr:row>
      <xdr:rowOff>0</xdr:rowOff>
    </xdr:to>
    <xdr:sp macro="" textlink="">
      <xdr:nvSpPr>
        <xdr:cNvPr id="117" name="Line 126">
          <a:extLst>
            <a:ext uri="{FF2B5EF4-FFF2-40B4-BE49-F238E27FC236}">
              <a16:creationId xmlns:a16="http://schemas.microsoft.com/office/drawing/2014/main" id="{00000000-0008-0000-0C00-000075000000}"/>
            </a:ext>
          </a:extLst>
        </xdr:cNvPr>
        <xdr:cNvSpPr>
          <a:spLocks noChangeShapeType="1"/>
        </xdr:cNvSpPr>
      </xdr:nvSpPr>
      <xdr:spPr bwMode="auto">
        <a:xfrm>
          <a:off x="5495925" y="79533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60</xdr:row>
      <xdr:rowOff>0</xdr:rowOff>
    </xdr:from>
    <xdr:to>
      <xdr:col>6</xdr:col>
      <xdr:colOff>9525</xdr:colOff>
      <xdr:row>60</xdr:row>
      <xdr:rowOff>0</xdr:rowOff>
    </xdr:to>
    <xdr:sp macro="" textlink="">
      <xdr:nvSpPr>
        <xdr:cNvPr id="118" name="Line 127">
          <a:extLst>
            <a:ext uri="{FF2B5EF4-FFF2-40B4-BE49-F238E27FC236}">
              <a16:creationId xmlns:a16="http://schemas.microsoft.com/office/drawing/2014/main" id="{00000000-0008-0000-0C00-000076000000}"/>
            </a:ext>
          </a:extLst>
        </xdr:cNvPr>
        <xdr:cNvSpPr>
          <a:spLocks noChangeShapeType="1"/>
        </xdr:cNvSpPr>
      </xdr:nvSpPr>
      <xdr:spPr bwMode="auto">
        <a:xfrm>
          <a:off x="495300" y="80867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60</xdr:row>
      <xdr:rowOff>0</xdr:rowOff>
    </xdr:from>
    <xdr:to>
      <xdr:col>7</xdr:col>
      <xdr:colOff>9525</xdr:colOff>
      <xdr:row>60</xdr:row>
      <xdr:rowOff>0</xdr:rowOff>
    </xdr:to>
    <xdr:sp macro="" textlink="">
      <xdr:nvSpPr>
        <xdr:cNvPr id="119" name="Line 128">
          <a:extLst>
            <a:ext uri="{FF2B5EF4-FFF2-40B4-BE49-F238E27FC236}">
              <a16:creationId xmlns:a16="http://schemas.microsoft.com/office/drawing/2014/main" id="{00000000-0008-0000-0C00-000077000000}"/>
            </a:ext>
          </a:extLst>
        </xdr:cNvPr>
        <xdr:cNvSpPr>
          <a:spLocks noChangeShapeType="1"/>
        </xdr:cNvSpPr>
      </xdr:nvSpPr>
      <xdr:spPr bwMode="auto">
        <a:xfrm>
          <a:off x="1066800"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60</xdr:row>
      <xdr:rowOff>0</xdr:rowOff>
    </xdr:from>
    <xdr:to>
      <xdr:col>8</xdr:col>
      <xdr:colOff>9525</xdr:colOff>
      <xdr:row>60</xdr:row>
      <xdr:rowOff>0</xdr:rowOff>
    </xdr:to>
    <xdr:sp macro="" textlink="">
      <xdr:nvSpPr>
        <xdr:cNvPr id="120" name="Line 129">
          <a:extLst>
            <a:ext uri="{FF2B5EF4-FFF2-40B4-BE49-F238E27FC236}">
              <a16:creationId xmlns:a16="http://schemas.microsoft.com/office/drawing/2014/main" id="{00000000-0008-0000-0C00-000078000000}"/>
            </a:ext>
          </a:extLst>
        </xdr:cNvPr>
        <xdr:cNvSpPr>
          <a:spLocks noChangeShapeType="1"/>
        </xdr:cNvSpPr>
      </xdr:nvSpPr>
      <xdr:spPr bwMode="auto">
        <a:xfrm>
          <a:off x="1714500" y="80867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60</xdr:row>
      <xdr:rowOff>0</xdr:rowOff>
    </xdr:from>
    <xdr:to>
      <xdr:col>9</xdr:col>
      <xdr:colOff>9525</xdr:colOff>
      <xdr:row>60</xdr:row>
      <xdr:rowOff>0</xdr:rowOff>
    </xdr:to>
    <xdr:sp macro="" textlink="">
      <xdr:nvSpPr>
        <xdr:cNvPr id="121" name="Line 130">
          <a:extLst>
            <a:ext uri="{FF2B5EF4-FFF2-40B4-BE49-F238E27FC236}">
              <a16:creationId xmlns:a16="http://schemas.microsoft.com/office/drawing/2014/main" id="{00000000-0008-0000-0C00-000079000000}"/>
            </a:ext>
          </a:extLst>
        </xdr:cNvPr>
        <xdr:cNvSpPr>
          <a:spLocks noChangeShapeType="1"/>
        </xdr:cNvSpPr>
      </xdr:nvSpPr>
      <xdr:spPr bwMode="auto">
        <a:xfrm>
          <a:off x="2381250"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60</xdr:row>
      <xdr:rowOff>0</xdr:rowOff>
    </xdr:from>
    <xdr:to>
      <xdr:col>10</xdr:col>
      <xdr:colOff>9525</xdr:colOff>
      <xdr:row>60</xdr:row>
      <xdr:rowOff>0</xdr:rowOff>
    </xdr:to>
    <xdr:sp macro="" textlink="">
      <xdr:nvSpPr>
        <xdr:cNvPr id="122" name="Line 131">
          <a:extLst>
            <a:ext uri="{FF2B5EF4-FFF2-40B4-BE49-F238E27FC236}">
              <a16:creationId xmlns:a16="http://schemas.microsoft.com/office/drawing/2014/main" id="{00000000-0008-0000-0C00-00007A000000}"/>
            </a:ext>
          </a:extLst>
        </xdr:cNvPr>
        <xdr:cNvSpPr>
          <a:spLocks noChangeShapeType="1"/>
        </xdr:cNvSpPr>
      </xdr:nvSpPr>
      <xdr:spPr bwMode="auto">
        <a:xfrm>
          <a:off x="3028950" y="80867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60</xdr:row>
      <xdr:rowOff>0</xdr:rowOff>
    </xdr:from>
    <xdr:to>
      <xdr:col>11</xdr:col>
      <xdr:colOff>9525</xdr:colOff>
      <xdr:row>60</xdr:row>
      <xdr:rowOff>0</xdr:rowOff>
    </xdr:to>
    <xdr:sp macro="" textlink="">
      <xdr:nvSpPr>
        <xdr:cNvPr id="123" name="Line 132">
          <a:extLst>
            <a:ext uri="{FF2B5EF4-FFF2-40B4-BE49-F238E27FC236}">
              <a16:creationId xmlns:a16="http://schemas.microsoft.com/office/drawing/2014/main" id="{00000000-0008-0000-0C00-00007B000000}"/>
            </a:ext>
          </a:extLst>
        </xdr:cNvPr>
        <xdr:cNvSpPr>
          <a:spLocks noChangeShapeType="1"/>
        </xdr:cNvSpPr>
      </xdr:nvSpPr>
      <xdr:spPr bwMode="auto">
        <a:xfrm>
          <a:off x="3533775"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60</xdr:row>
      <xdr:rowOff>0</xdr:rowOff>
    </xdr:from>
    <xdr:to>
      <xdr:col>12</xdr:col>
      <xdr:colOff>9525</xdr:colOff>
      <xdr:row>60</xdr:row>
      <xdr:rowOff>0</xdr:rowOff>
    </xdr:to>
    <xdr:sp macro="" textlink="">
      <xdr:nvSpPr>
        <xdr:cNvPr id="124" name="Line 133">
          <a:extLst>
            <a:ext uri="{FF2B5EF4-FFF2-40B4-BE49-F238E27FC236}">
              <a16:creationId xmlns:a16="http://schemas.microsoft.com/office/drawing/2014/main" id="{00000000-0008-0000-0C00-00007C000000}"/>
            </a:ext>
          </a:extLst>
        </xdr:cNvPr>
        <xdr:cNvSpPr>
          <a:spLocks noChangeShapeType="1"/>
        </xdr:cNvSpPr>
      </xdr:nvSpPr>
      <xdr:spPr bwMode="auto">
        <a:xfrm>
          <a:off x="4181475" y="80867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60</xdr:row>
      <xdr:rowOff>0</xdr:rowOff>
    </xdr:from>
    <xdr:to>
      <xdr:col>13</xdr:col>
      <xdr:colOff>9525</xdr:colOff>
      <xdr:row>60</xdr:row>
      <xdr:rowOff>0</xdr:rowOff>
    </xdr:to>
    <xdr:sp macro="" textlink="">
      <xdr:nvSpPr>
        <xdr:cNvPr id="125" name="Line 134">
          <a:extLst>
            <a:ext uri="{FF2B5EF4-FFF2-40B4-BE49-F238E27FC236}">
              <a16:creationId xmlns:a16="http://schemas.microsoft.com/office/drawing/2014/main" id="{00000000-0008-0000-0C00-00007D000000}"/>
            </a:ext>
          </a:extLst>
        </xdr:cNvPr>
        <xdr:cNvSpPr>
          <a:spLocks noChangeShapeType="1"/>
        </xdr:cNvSpPr>
      </xdr:nvSpPr>
      <xdr:spPr bwMode="auto">
        <a:xfrm>
          <a:off x="4848225"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60</xdr:row>
      <xdr:rowOff>0</xdr:rowOff>
    </xdr:from>
    <xdr:to>
      <xdr:col>14</xdr:col>
      <xdr:colOff>9525</xdr:colOff>
      <xdr:row>60</xdr:row>
      <xdr:rowOff>0</xdr:rowOff>
    </xdr:to>
    <xdr:sp macro="" textlink="">
      <xdr:nvSpPr>
        <xdr:cNvPr id="126" name="Line 135">
          <a:extLst>
            <a:ext uri="{FF2B5EF4-FFF2-40B4-BE49-F238E27FC236}">
              <a16:creationId xmlns:a16="http://schemas.microsoft.com/office/drawing/2014/main" id="{00000000-0008-0000-0C00-00007E000000}"/>
            </a:ext>
          </a:extLst>
        </xdr:cNvPr>
        <xdr:cNvSpPr>
          <a:spLocks noChangeShapeType="1"/>
        </xdr:cNvSpPr>
      </xdr:nvSpPr>
      <xdr:spPr bwMode="auto">
        <a:xfrm>
          <a:off x="5495925" y="80867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61</xdr:row>
      <xdr:rowOff>0</xdr:rowOff>
    </xdr:from>
    <xdr:to>
      <xdr:col>6</xdr:col>
      <xdr:colOff>9525</xdr:colOff>
      <xdr:row>61</xdr:row>
      <xdr:rowOff>0</xdr:rowOff>
    </xdr:to>
    <xdr:sp macro="" textlink="">
      <xdr:nvSpPr>
        <xdr:cNvPr id="127" name="Line 136">
          <a:extLst>
            <a:ext uri="{FF2B5EF4-FFF2-40B4-BE49-F238E27FC236}">
              <a16:creationId xmlns:a16="http://schemas.microsoft.com/office/drawing/2014/main" id="{00000000-0008-0000-0C00-00007F000000}"/>
            </a:ext>
          </a:extLst>
        </xdr:cNvPr>
        <xdr:cNvSpPr>
          <a:spLocks noChangeShapeType="1"/>
        </xdr:cNvSpPr>
      </xdr:nvSpPr>
      <xdr:spPr bwMode="auto">
        <a:xfrm>
          <a:off x="495300" y="82200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61</xdr:row>
      <xdr:rowOff>0</xdr:rowOff>
    </xdr:from>
    <xdr:to>
      <xdr:col>7</xdr:col>
      <xdr:colOff>9525</xdr:colOff>
      <xdr:row>61</xdr:row>
      <xdr:rowOff>0</xdr:rowOff>
    </xdr:to>
    <xdr:sp macro="" textlink="">
      <xdr:nvSpPr>
        <xdr:cNvPr id="128" name="Line 137">
          <a:extLst>
            <a:ext uri="{FF2B5EF4-FFF2-40B4-BE49-F238E27FC236}">
              <a16:creationId xmlns:a16="http://schemas.microsoft.com/office/drawing/2014/main" id="{00000000-0008-0000-0C00-000080000000}"/>
            </a:ext>
          </a:extLst>
        </xdr:cNvPr>
        <xdr:cNvSpPr>
          <a:spLocks noChangeShapeType="1"/>
        </xdr:cNvSpPr>
      </xdr:nvSpPr>
      <xdr:spPr bwMode="auto">
        <a:xfrm>
          <a:off x="1066800"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61</xdr:row>
      <xdr:rowOff>0</xdr:rowOff>
    </xdr:from>
    <xdr:to>
      <xdr:col>8</xdr:col>
      <xdr:colOff>9525</xdr:colOff>
      <xdr:row>61</xdr:row>
      <xdr:rowOff>0</xdr:rowOff>
    </xdr:to>
    <xdr:sp macro="" textlink="">
      <xdr:nvSpPr>
        <xdr:cNvPr id="129" name="Line 138">
          <a:extLst>
            <a:ext uri="{FF2B5EF4-FFF2-40B4-BE49-F238E27FC236}">
              <a16:creationId xmlns:a16="http://schemas.microsoft.com/office/drawing/2014/main" id="{00000000-0008-0000-0C00-000081000000}"/>
            </a:ext>
          </a:extLst>
        </xdr:cNvPr>
        <xdr:cNvSpPr>
          <a:spLocks noChangeShapeType="1"/>
        </xdr:cNvSpPr>
      </xdr:nvSpPr>
      <xdr:spPr bwMode="auto">
        <a:xfrm>
          <a:off x="1714500" y="82200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61</xdr:row>
      <xdr:rowOff>0</xdr:rowOff>
    </xdr:from>
    <xdr:to>
      <xdr:col>9</xdr:col>
      <xdr:colOff>9525</xdr:colOff>
      <xdr:row>61</xdr:row>
      <xdr:rowOff>0</xdr:rowOff>
    </xdr:to>
    <xdr:sp macro="" textlink="">
      <xdr:nvSpPr>
        <xdr:cNvPr id="130" name="Line 139">
          <a:extLst>
            <a:ext uri="{FF2B5EF4-FFF2-40B4-BE49-F238E27FC236}">
              <a16:creationId xmlns:a16="http://schemas.microsoft.com/office/drawing/2014/main" id="{00000000-0008-0000-0C00-000082000000}"/>
            </a:ext>
          </a:extLst>
        </xdr:cNvPr>
        <xdr:cNvSpPr>
          <a:spLocks noChangeShapeType="1"/>
        </xdr:cNvSpPr>
      </xdr:nvSpPr>
      <xdr:spPr bwMode="auto">
        <a:xfrm>
          <a:off x="2381250"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61</xdr:row>
      <xdr:rowOff>0</xdr:rowOff>
    </xdr:from>
    <xdr:to>
      <xdr:col>10</xdr:col>
      <xdr:colOff>9525</xdr:colOff>
      <xdr:row>61</xdr:row>
      <xdr:rowOff>0</xdr:rowOff>
    </xdr:to>
    <xdr:sp macro="" textlink="">
      <xdr:nvSpPr>
        <xdr:cNvPr id="131" name="Line 140">
          <a:extLst>
            <a:ext uri="{FF2B5EF4-FFF2-40B4-BE49-F238E27FC236}">
              <a16:creationId xmlns:a16="http://schemas.microsoft.com/office/drawing/2014/main" id="{00000000-0008-0000-0C00-000083000000}"/>
            </a:ext>
          </a:extLst>
        </xdr:cNvPr>
        <xdr:cNvSpPr>
          <a:spLocks noChangeShapeType="1"/>
        </xdr:cNvSpPr>
      </xdr:nvSpPr>
      <xdr:spPr bwMode="auto">
        <a:xfrm>
          <a:off x="3028950" y="82200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61</xdr:row>
      <xdr:rowOff>0</xdr:rowOff>
    </xdr:from>
    <xdr:to>
      <xdr:col>11</xdr:col>
      <xdr:colOff>9525</xdr:colOff>
      <xdr:row>61</xdr:row>
      <xdr:rowOff>0</xdr:rowOff>
    </xdr:to>
    <xdr:sp macro="" textlink="">
      <xdr:nvSpPr>
        <xdr:cNvPr id="132" name="Line 141">
          <a:extLst>
            <a:ext uri="{FF2B5EF4-FFF2-40B4-BE49-F238E27FC236}">
              <a16:creationId xmlns:a16="http://schemas.microsoft.com/office/drawing/2014/main" id="{00000000-0008-0000-0C00-000084000000}"/>
            </a:ext>
          </a:extLst>
        </xdr:cNvPr>
        <xdr:cNvSpPr>
          <a:spLocks noChangeShapeType="1"/>
        </xdr:cNvSpPr>
      </xdr:nvSpPr>
      <xdr:spPr bwMode="auto">
        <a:xfrm>
          <a:off x="3533775"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61</xdr:row>
      <xdr:rowOff>0</xdr:rowOff>
    </xdr:from>
    <xdr:to>
      <xdr:col>12</xdr:col>
      <xdr:colOff>9525</xdr:colOff>
      <xdr:row>61</xdr:row>
      <xdr:rowOff>0</xdr:rowOff>
    </xdr:to>
    <xdr:sp macro="" textlink="">
      <xdr:nvSpPr>
        <xdr:cNvPr id="133" name="Line 142">
          <a:extLst>
            <a:ext uri="{FF2B5EF4-FFF2-40B4-BE49-F238E27FC236}">
              <a16:creationId xmlns:a16="http://schemas.microsoft.com/office/drawing/2014/main" id="{00000000-0008-0000-0C00-000085000000}"/>
            </a:ext>
          </a:extLst>
        </xdr:cNvPr>
        <xdr:cNvSpPr>
          <a:spLocks noChangeShapeType="1"/>
        </xdr:cNvSpPr>
      </xdr:nvSpPr>
      <xdr:spPr bwMode="auto">
        <a:xfrm>
          <a:off x="4181475" y="82200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61</xdr:row>
      <xdr:rowOff>0</xdr:rowOff>
    </xdr:from>
    <xdr:to>
      <xdr:col>13</xdr:col>
      <xdr:colOff>9525</xdr:colOff>
      <xdr:row>61</xdr:row>
      <xdr:rowOff>0</xdr:rowOff>
    </xdr:to>
    <xdr:sp macro="" textlink="">
      <xdr:nvSpPr>
        <xdr:cNvPr id="134" name="Line 143">
          <a:extLst>
            <a:ext uri="{FF2B5EF4-FFF2-40B4-BE49-F238E27FC236}">
              <a16:creationId xmlns:a16="http://schemas.microsoft.com/office/drawing/2014/main" id="{00000000-0008-0000-0C00-000086000000}"/>
            </a:ext>
          </a:extLst>
        </xdr:cNvPr>
        <xdr:cNvSpPr>
          <a:spLocks noChangeShapeType="1"/>
        </xdr:cNvSpPr>
      </xdr:nvSpPr>
      <xdr:spPr bwMode="auto">
        <a:xfrm>
          <a:off x="4848225"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61</xdr:row>
      <xdr:rowOff>0</xdr:rowOff>
    </xdr:from>
    <xdr:to>
      <xdr:col>14</xdr:col>
      <xdr:colOff>9525</xdr:colOff>
      <xdr:row>61</xdr:row>
      <xdr:rowOff>0</xdr:rowOff>
    </xdr:to>
    <xdr:sp macro="" textlink="">
      <xdr:nvSpPr>
        <xdr:cNvPr id="135" name="Line 144">
          <a:extLst>
            <a:ext uri="{FF2B5EF4-FFF2-40B4-BE49-F238E27FC236}">
              <a16:creationId xmlns:a16="http://schemas.microsoft.com/office/drawing/2014/main" id="{00000000-0008-0000-0C00-000087000000}"/>
            </a:ext>
          </a:extLst>
        </xdr:cNvPr>
        <xdr:cNvSpPr>
          <a:spLocks noChangeShapeType="1"/>
        </xdr:cNvSpPr>
      </xdr:nvSpPr>
      <xdr:spPr bwMode="auto">
        <a:xfrm>
          <a:off x="5495925" y="82200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63</xdr:row>
      <xdr:rowOff>0</xdr:rowOff>
    </xdr:from>
    <xdr:to>
      <xdr:col>6</xdr:col>
      <xdr:colOff>9525</xdr:colOff>
      <xdr:row>63</xdr:row>
      <xdr:rowOff>0</xdr:rowOff>
    </xdr:to>
    <xdr:sp macro="" textlink="">
      <xdr:nvSpPr>
        <xdr:cNvPr id="136" name="Line 145">
          <a:extLst>
            <a:ext uri="{FF2B5EF4-FFF2-40B4-BE49-F238E27FC236}">
              <a16:creationId xmlns:a16="http://schemas.microsoft.com/office/drawing/2014/main" id="{00000000-0008-0000-0C00-000088000000}"/>
            </a:ext>
          </a:extLst>
        </xdr:cNvPr>
        <xdr:cNvSpPr>
          <a:spLocks noChangeShapeType="1"/>
        </xdr:cNvSpPr>
      </xdr:nvSpPr>
      <xdr:spPr bwMode="auto">
        <a:xfrm>
          <a:off x="495300" y="84867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63</xdr:row>
      <xdr:rowOff>0</xdr:rowOff>
    </xdr:from>
    <xdr:to>
      <xdr:col>7</xdr:col>
      <xdr:colOff>9525</xdr:colOff>
      <xdr:row>63</xdr:row>
      <xdr:rowOff>0</xdr:rowOff>
    </xdr:to>
    <xdr:sp macro="" textlink="">
      <xdr:nvSpPr>
        <xdr:cNvPr id="137" name="Line 146">
          <a:extLst>
            <a:ext uri="{FF2B5EF4-FFF2-40B4-BE49-F238E27FC236}">
              <a16:creationId xmlns:a16="http://schemas.microsoft.com/office/drawing/2014/main" id="{00000000-0008-0000-0C00-000089000000}"/>
            </a:ext>
          </a:extLst>
        </xdr:cNvPr>
        <xdr:cNvSpPr>
          <a:spLocks noChangeShapeType="1"/>
        </xdr:cNvSpPr>
      </xdr:nvSpPr>
      <xdr:spPr bwMode="auto">
        <a:xfrm>
          <a:off x="1066800"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63</xdr:row>
      <xdr:rowOff>0</xdr:rowOff>
    </xdr:from>
    <xdr:to>
      <xdr:col>8</xdr:col>
      <xdr:colOff>9525</xdr:colOff>
      <xdr:row>63</xdr:row>
      <xdr:rowOff>0</xdr:rowOff>
    </xdr:to>
    <xdr:sp macro="" textlink="">
      <xdr:nvSpPr>
        <xdr:cNvPr id="138" name="Line 147">
          <a:extLst>
            <a:ext uri="{FF2B5EF4-FFF2-40B4-BE49-F238E27FC236}">
              <a16:creationId xmlns:a16="http://schemas.microsoft.com/office/drawing/2014/main" id="{00000000-0008-0000-0C00-00008A000000}"/>
            </a:ext>
          </a:extLst>
        </xdr:cNvPr>
        <xdr:cNvSpPr>
          <a:spLocks noChangeShapeType="1"/>
        </xdr:cNvSpPr>
      </xdr:nvSpPr>
      <xdr:spPr bwMode="auto">
        <a:xfrm>
          <a:off x="1714500" y="84867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63</xdr:row>
      <xdr:rowOff>0</xdr:rowOff>
    </xdr:from>
    <xdr:to>
      <xdr:col>9</xdr:col>
      <xdr:colOff>9525</xdr:colOff>
      <xdr:row>63</xdr:row>
      <xdr:rowOff>0</xdr:rowOff>
    </xdr:to>
    <xdr:sp macro="" textlink="">
      <xdr:nvSpPr>
        <xdr:cNvPr id="139" name="Line 148">
          <a:extLst>
            <a:ext uri="{FF2B5EF4-FFF2-40B4-BE49-F238E27FC236}">
              <a16:creationId xmlns:a16="http://schemas.microsoft.com/office/drawing/2014/main" id="{00000000-0008-0000-0C00-00008B000000}"/>
            </a:ext>
          </a:extLst>
        </xdr:cNvPr>
        <xdr:cNvSpPr>
          <a:spLocks noChangeShapeType="1"/>
        </xdr:cNvSpPr>
      </xdr:nvSpPr>
      <xdr:spPr bwMode="auto">
        <a:xfrm>
          <a:off x="2381250"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63</xdr:row>
      <xdr:rowOff>0</xdr:rowOff>
    </xdr:from>
    <xdr:to>
      <xdr:col>10</xdr:col>
      <xdr:colOff>9525</xdr:colOff>
      <xdr:row>63</xdr:row>
      <xdr:rowOff>0</xdr:rowOff>
    </xdr:to>
    <xdr:sp macro="" textlink="">
      <xdr:nvSpPr>
        <xdr:cNvPr id="140" name="Line 149">
          <a:extLst>
            <a:ext uri="{FF2B5EF4-FFF2-40B4-BE49-F238E27FC236}">
              <a16:creationId xmlns:a16="http://schemas.microsoft.com/office/drawing/2014/main" id="{00000000-0008-0000-0C00-00008C000000}"/>
            </a:ext>
          </a:extLst>
        </xdr:cNvPr>
        <xdr:cNvSpPr>
          <a:spLocks noChangeShapeType="1"/>
        </xdr:cNvSpPr>
      </xdr:nvSpPr>
      <xdr:spPr bwMode="auto">
        <a:xfrm>
          <a:off x="3028950" y="84867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63</xdr:row>
      <xdr:rowOff>0</xdr:rowOff>
    </xdr:from>
    <xdr:to>
      <xdr:col>11</xdr:col>
      <xdr:colOff>9525</xdr:colOff>
      <xdr:row>63</xdr:row>
      <xdr:rowOff>0</xdr:rowOff>
    </xdr:to>
    <xdr:sp macro="" textlink="">
      <xdr:nvSpPr>
        <xdr:cNvPr id="141" name="Line 150">
          <a:extLst>
            <a:ext uri="{FF2B5EF4-FFF2-40B4-BE49-F238E27FC236}">
              <a16:creationId xmlns:a16="http://schemas.microsoft.com/office/drawing/2014/main" id="{00000000-0008-0000-0C00-00008D000000}"/>
            </a:ext>
          </a:extLst>
        </xdr:cNvPr>
        <xdr:cNvSpPr>
          <a:spLocks noChangeShapeType="1"/>
        </xdr:cNvSpPr>
      </xdr:nvSpPr>
      <xdr:spPr bwMode="auto">
        <a:xfrm>
          <a:off x="3533775"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63</xdr:row>
      <xdr:rowOff>0</xdr:rowOff>
    </xdr:from>
    <xdr:to>
      <xdr:col>12</xdr:col>
      <xdr:colOff>9525</xdr:colOff>
      <xdr:row>63</xdr:row>
      <xdr:rowOff>0</xdr:rowOff>
    </xdr:to>
    <xdr:sp macro="" textlink="">
      <xdr:nvSpPr>
        <xdr:cNvPr id="142" name="Line 151">
          <a:extLst>
            <a:ext uri="{FF2B5EF4-FFF2-40B4-BE49-F238E27FC236}">
              <a16:creationId xmlns:a16="http://schemas.microsoft.com/office/drawing/2014/main" id="{00000000-0008-0000-0C00-00008E000000}"/>
            </a:ext>
          </a:extLst>
        </xdr:cNvPr>
        <xdr:cNvSpPr>
          <a:spLocks noChangeShapeType="1"/>
        </xdr:cNvSpPr>
      </xdr:nvSpPr>
      <xdr:spPr bwMode="auto">
        <a:xfrm>
          <a:off x="4181475" y="84867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63</xdr:row>
      <xdr:rowOff>0</xdr:rowOff>
    </xdr:from>
    <xdr:to>
      <xdr:col>13</xdr:col>
      <xdr:colOff>9525</xdr:colOff>
      <xdr:row>63</xdr:row>
      <xdr:rowOff>0</xdr:rowOff>
    </xdr:to>
    <xdr:sp macro="" textlink="">
      <xdr:nvSpPr>
        <xdr:cNvPr id="143" name="Line 152">
          <a:extLst>
            <a:ext uri="{FF2B5EF4-FFF2-40B4-BE49-F238E27FC236}">
              <a16:creationId xmlns:a16="http://schemas.microsoft.com/office/drawing/2014/main" id="{00000000-0008-0000-0C00-00008F000000}"/>
            </a:ext>
          </a:extLst>
        </xdr:cNvPr>
        <xdr:cNvSpPr>
          <a:spLocks noChangeShapeType="1"/>
        </xdr:cNvSpPr>
      </xdr:nvSpPr>
      <xdr:spPr bwMode="auto">
        <a:xfrm>
          <a:off x="4848225"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63</xdr:row>
      <xdr:rowOff>0</xdr:rowOff>
    </xdr:from>
    <xdr:to>
      <xdr:col>14</xdr:col>
      <xdr:colOff>9525</xdr:colOff>
      <xdr:row>63</xdr:row>
      <xdr:rowOff>0</xdr:rowOff>
    </xdr:to>
    <xdr:sp macro="" textlink="">
      <xdr:nvSpPr>
        <xdr:cNvPr id="144" name="Line 153">
          <a:extLst>
            <a:ext uri="{FF2B5EF4-FFF2-40B4-BE49-F238E27FC236}">
              <a16:creationId xmlns:a16="http://schemas.microsoft.com/office/drawing/2014/main" id="{00000000-0008-0000-0C00-000090000000}"/>
            </a:ext>
          </a:extLst>
        </xdr:cNvPr>
        <xdr:cNvSpPr>
          <a:spLocks noChangeShapeType="1"/>
        </xdr:cNvSpPr>
      </xdr:nvSpPr>
      <xdr:spPr bwMode="auto">
        <a:xfrm>
          <a:off x="5495925" y="84867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64</xdr:row>
      <xdr:rowOff>0</xdr:rowOff>
    </xdr:from>
    <xdr:to>
      <xdr:col>6</xdr:col>
      <xdr:colOff>9525</xdr:colOff>
      <xdr:row>64</xdr:row>
      <xdr:rowOff>0</xdr:rowOff>
    </xdr:to>
    <xdr:sp macro="" textlink="">
      <xdr:nvSpPr>
        <xdr:cNvPr id="145" name="Line 154">
          <a:extLst>
            <a:ext uri="{FF2B5EF4-FFF2-40B4-BE49-F238E27FC236}">
              <a16:creationId xmlns:a16="http://schemas.microsoft.com/office/drawing/2014/main" id="{00000000-0008-0000-0C00-000091000000}"/>
            </a:ext>
          </a:extLst>
        </xdr:cNvPr>
        <xdr:cNvSpPr>
          <a:spLocks noChangeShapeType="1"/>
        </xdr:cNvSpPr>
      </xdr:nvSpPr>
      <xdr:spPr bwMode="auto">
        <a:xfrm>
          <a:off x="495300" y="86201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64</xdr:row>
      <xdr:rowOff>0</xdr:rowOff>
    </xdr:from>
    <xdr:to>
      <xdr:col>7</xdr:col>
      <xdr:colOff>9525</xdr:colOff>
      <xdr:row>64</xdr:row>
      <xdr:rowOff>0</xdr:rowOff>
    </xdr:to>
    <xdr:sp macro="" textlink="">
      <xdr:nvSpPr>
        <xdr:cNvPr id="146" name="Line 155">
          <a:extLst>
            <a:ext uri="{FF2B5EF4-FFF2-40B4-BE49-F238E27FC236}">
              <a16:creationId xmlns:a16="http://schemas.microsoft.com/office/drawing/2014/main" id="{00000000-0008-0000-0C00-000092000000}"/>
            </a:ext>
          </a:extLst>
        </xdr:cNvPr>
        <xdr:cNvSpPr>
          <a:spLocks noChangeShapeType="1"/>
        </xdr:cNvSpPr>
      </xdr:nvSpPr>
      <xdr:spPr bwMode="auto">
        <a:xfrm>
          <a:off x="1066800"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64</xdr:row>
      <xdr:rowOff>0</xdr:rowOff>
    </xdr:from>
    <xdr:to>
      <xdr:col>8</xdr:col>
      <xdr:colOff>9525</xdr:colOff>
      <xdr:row>64</xdr:row>
      <xdr:rowOff>0</xdr:rowOff>
    </xdr:to>
    <xdr:sp macro="" textlink="">
      <xdr:nvSpPr>
        <xdr:cNvPr id="147" name="Line 156">
          <a:extLst>
            <a:ext uri="{FF2B5EF4-FFF2-40B4-BE49-F238E27FC236}">
              <a16:creationId xmlns:a16="http://schemas.microsoft.com/office/drawing/2014/main" id="{00000000-0008-0000-0C00-000093000000}"/>
            </a:ext>
          </a:extLst>
        </xdr:cNvPr>
        <xdr:cNvSpPr>
          <a:spLocks noChangeShapeType="1"/>
        </xdr:cNvSpPr>
      </xdr:nvSpPr>
      <xdr:spPr bwMode="auto">
        <a:xfrm>
          <a:off x="1714500" y="8620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64</xdr:row>
      <xdr:rowOff>0</xdr:rowOff>
    </xdr:from>
    <xdr:to>
      <xdr:col>9</xdr:col>
      <xdr:colOff>9525</xdr:colOff>
      <xdr:row>64</xdr:row>
      <xdr:rowOff>0</xdr:rowOff>
    </xdr:to>
    <xdr:sp macro="" textlink="">
      <xdr:nvSpPr>
        <xdr:cNvPr id="148" name="Line 157">
          <a:extLst>
            <a:ext uri="{FF2B5EF4-FFF2-40B4-BE49-F238E27FC236}">
              <a16:creationId xmlns:a16="http://schemas.microsoft.com/office/drawing/2014/main" id="{00000000-0008-0000-0C00-000094000000}"/>
            </a:ext>
          </a:extLst>
        </xdr:cNvPr>
        <xdr:cNvSpPr>
          <a:spLocks noChangeShapeType="1"/>
        </xdr:cNvSpPr>
      </xdr:nvSpPr>
      <xdr:spPr bwMode="auto">
        <a:xfrm>
          <a:off x="2381250"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64</xdr:row>
      <xdr:rowOff>0</xdr:rowOff>
    </xdr:from>
    <xdr:to>
      <xdr:col>10</xdr:col>
      <xdr:colOff>9525</xdr:colOff>
      <xdr:row>64</xdr:row>
      <xdr:rowOff>0</xdr:rowOff>
    </xdr:to>
    <xdr:sp macro="" textlink="">
      <xdr:nvSpPr>
        <xdr:cNvPr id="149" name="Line 158">
          <a:extLst>
            <a:ext uri="{FF2B5EF4-FFF2-40B4-BE49-F238E27FC236}">
              <a16:creationId xmlns:a16="http://schemas.microsoft.com/office/drawing/2014/main" id="{00000000-0008-0000-0C00-000095000000}"/>
            </a:ext>
          </a:extLst>
        </xdr:cNvPr>
        <xdr:cNvSpPr>
          <a:spLocks noChangeShapeType="1"/>
        </xdr:cNvSpPr>
      </xdr:nvSpPr>
      <xdr:spPr bwMode="auto">
        <a:xfrm>
          <a:off x="3028950" y="86201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64</xdr:row>
      <xdr:rowOff>0</xdr:rowOff>
    </xdr:from>
    <xdr:to>
      <xdr:col>11</xdr:col>
      <xdr:colOff>9525</xdr:colOff>
      <xdr:row>64</xdr:row>
      <xdr:rowOff>0</xdr:rowOff>
    </xdr:to>
    <xdr:sp macro="" textlink="">
      <xdr:nvSpPr>
        <xdr:cNvPr id="150" name="Line 159">
          <a:extLst>
            <a:ext uri="{FF2B5EF4-FFF2-40B4-BE49-F238E27FC236}">
              <a16:creationId xmlns:a16="http://schemas.microsoft.com/office/drawing/2014/main" id="{00000000-0008-0000-0C00-000096000000}"/>
            </a:ext>
          </a:extLst>
        </xdr:cNvPr>
        <xdr:cNvSpPr>
          <a:spLocks noChangeShapeType="1"/>
        </xdr:cNvSpPr>
      </xdr:nvSpPr>
      <xdr:spPr bwMode="auto">
        <a:xfrm>
          <a:off x="3533775"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64</xdr:row>
      <xdr:rowOff>0</xdr:rowOff>
    </xdr:from>
    <xdr:to>
      <xdr:col>12</xdr:col>
      <xdr:colOff>9525</xdr:colOff>
      <xdr:row>64</xdr:row>
      <xdr:rowOff>0</xdr:rowOff>
    </xdr:to>
    <xdr:sp macro="" textlink="">
      <xdr:nvSpPr>
        <xdr:cNvPr id="151" name="Line 160">
          <a:extLst>
            <a:ext uri="{FF2B5EF4-FFF2-40B4-BE49-F238E27FC236}">
              <a16:creationId xmlns:a16="http://schemas.microsoft.com/office/drawing/2014/main" id="{00000000-0008-0000-0C00-000097000000}"/>
            </a:ext>
          </a:extLst>
        </xdr:cNvPr>
        <xdr:cNvSpPr>
          <a:spLocks noChangeShapeType="1"/>
        </xdr:cNvSpPr>
      </xdr:nvSpPr>
      <xdr:spPr bwMode="auto">
        <a:xfrm>
          <a:off x="4181475" y="8620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64</xdr:row>
      <xdr:rowOff>0</xdr:rowOff>
    </xdr:from>
    <xdr:to>
      <xdr:col>13</xdr:col>
      <xdr:colOff>9525</xdr:colOff>
      <xdr:row>64</xdr:row>
      <xdr:rowOff>0</xdr:rowOff>
    </xdr:to>
    <xdr:sp macro="" textlink="">
      <xdr:nvSpPr>
        <xdr:cNvPr id="152" name="Line 161">
          <a:extLst>
            <a:ext uri="{FF2B5EF4-FFF2-40B4-BE49-F238E27FC236}">
              <a16:creationId xmlns:a16="http://schemas.microsoft.com/office/drawing/2014/main" id="{00000000-0008-0000-0C00-000098000000}"/>
            </a:ext>
          </a:extLst>
        </xdr:cNvPr>
        <xdr:cNvSpPr>
          <a:spLocks noChangeShapeType="1"/>
        </xdr:cNvSpPr>
      </xdr:nvSpPr>
      <xdr:spPr bwMode="auto">
        <a:xfrm>
          <a:off x="4848225"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64</xdr:row>
      <xdr:rowOff>0</xdr:rowOff>
    </xdr:from>
    <xdr:to>
      <xdr:col>14</xdr:col>
      <xdr:colOff>9525</xdr:colOff>
      <xdr:row>64</xdr:row>
      <xdr:rowOff>0</xdr:rowOff>
    </xdr:to>
    <xdr:sp macro="" textlink="">
      <xdr:nvSpPr>
        <xdr:cNvPr id="153" name="Line 162">
          <a:extLst>
            <a:ext uri="{FF2B5EF4-FFF2-40B4-BE49-F238E27FC236}">
              <a16:creationId xmlns:a16="http://schemas.microsoft.com/office/drawing/2014/main" id="{00000000-0008-0000-0C00-000099000000}"/>
            </a:ext>
          </a:extLst>
        </xdr:cNvPr>
        <xdr:cNvSpPr>
          <a:spLocks noChangeShapeType="1"/>
        </xdr:cNvSpPr>
      </xdr:nvSpPr>
      <xdr:spPr bwMode="auto">
        <a:xfrm>
          <a:off x="5495925" y="86201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65</xdr:row>
      <xdr:rowOff>0</xdr:rowOff>
    </xdr:from>
    <xdr:to>
      <xdr:col>6</xdr:col>
      <xdr:colOff>9525</xdr:colOff>
      <xdr:row>65</xdr:row>
      <xdr:rowOff>0</xdr:rowOff>
    </xdr:to>
    <xdr:sp macro="" textlink="">
      <xdr:nvSpPr>
        <xdr:cNvPr id="154" name="Line 163">
          <a:extLst>
            <a:ext uri="{FF2B5EF4-FFF2-40B4-BE49-F238E27FC236}">
              <a16:creationId xmlns:a16="http://schemas.microsoft.com/office/drawing/2014/main" id="{00000000-0008-0000-0C00-00009A000000}"/>
            </a:ext>
          </a:extLst>
        </xdr:cNvPr>
        <xdr:cNvSpPr>
          <a:spLocks noChangeShapeType="1"/>
        </xdr:cNvSpPr>
      </xdr:nvSpPr>
      <xdr:spPr bwMode="auto">
        <a:xfrm>
          <a:off x="495300" y="87534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65</xdr:row>
      <xdr:rowOff>0</xdr:rowOff>
    </xdr:from>
    <xdr:to>
      <xdr:col>7</xdr:col>
      <xdr:colOff>9525</xdr:colOff>
      <xdr:row>65</xdr:row>
      <xdr:rowOff>0</xdr:rowOff>
    </xdr:to>
    <xdr:sp macro="" textlink="">
      <xdr:nvSpPr>
        <xdr:cNvPr id="155" name="Line 164">
          <a:extLst>
            <a:ext uri="{FF2B5EF4-FFF2-40B4-BE49-F238E27FC236}">
              <a16:creationId xmlns:a16="http://schemas.microsoft.com/office/drawing/2014/main" id="{00000000-0008-0000-0C00-00009B000000}"/>
            </a:ext>
          </a:extLst>
        </xdr:cNvPr>
        <xdr:cNvSpPr>
          <a:spLocks noChangeShapeType="1"/>
        </xdr:cNvSpPr>
      </xdr:nvSpPr>
      <xdr:spPr bwMode="auto">
        <a:xfrm>
          <a:off x="1066800"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65</xdr:row>
      <xdr:rowOff>0</xdr:rowOff>
    </xdr:from>
    <xdr:to>
      <xdr:col>8</xdr:col>
      <xdr:colOff>9525</xdr:colOff>
      <xdr:row>65</xdr:row>
      <xdr:rowOff>0</xdr:rowOff>
    </xdr:to>
    <xdr:sp macro="" textlink="">
      <xdr:nvSpPr>
        <xdr:cNvPr id="156" name="Line 165">
          <a:extLst>
            <a:ext uri="{FF2B5EF4-FFF2-40B4-BE49-F238E27FC236}">
              <a16:creationId xmlns:a16="http://schemas.microsoft.com/office/drawing/2014/main" id="{00000000-0008-0000-0C00-00009C000000}"/>
            </a:ext>
          </a:extLst>
        </xdr:cNvPr>
        <xdr:cNvSpPr>
          <a:spLocks noChangeShapeType="1"/>
        </xdr:cNvSpPr>
      </xdr:nvSpPr>
      <xdr:spPr bwMode="auto">
        <a:xfrm>
          <a:off x="1714500" y="8753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65</xdr:row>
      <xdr:rowOff>0</xdr:rowOff>
    </xdr:from>
    <xdr:to>
      <xdr:col>9</xdr:col>
      <xdr:colOff>9525</xdr:colOff>
      <xdr:row>65</xdr:row>
      <xdr:rowOff>0</xdr:rowOff>
    </xdr:to>
    <xdr:sp macro="" textlink="">
      <xdr:nvSpPr>
        <xdr:cNvPr id="157" name="Line 166">
          <a:extLst>
            <a:ext uri="{FF2B5EF4-FFF2-40B4-BE49-F238E27FC236}">
              <a16:creationId xmlns:a16="http://schemas.microsoft.com/office/drawing/2014/main" id="{00000000-0008-0000-0C00-00009D000000}"/>
            </a:ext>
          </a:extLst>
        </xdr:cNvPr>
        <xdr:cNvSpPr>
          <a:spLocks noChangeShapeType="1"/>
        </xdr:cNvSpPr>
      </xdr:nvSpPr>
      <xdr:spPr bwMode="auto">
        <a:xfrm>
          <a:off x="2381250"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65</xdr:row>
      <xdr:rowOff>0</xdr:rowOff>
    </xdr:from>
    <xdr:to>
      <xdr:col>10</xdr:col>
      <xdr:colOff>9525</xdr:colOff>
      <xdr:row>65</xdr:row>
      <xdr:rowOff>0</xdr:rowOff>
    </xdr:to>
    <xdr:sp macro="" textlink="">
      <xdr:nvSpPr>
        <xdr:cNvPr id="158" name="Line 167">
          <a:extLst>
            <a:ext uri="{FF2B5EF4-FFF2-40B4-BE49-F238E27FC236}">
              <a16:creationId xmlns:a16="http://schemas.microsoft.com/office/drawing/2014/main" id="{00000000-0008-0000-0C00-00009E000000}"/>
            </a:ext>
          </a:extLst>
        </xdr:cNvPr>
        <xdr:cNvSpPr>
          <a:spLocks noChangeShapeType="1"/>
        </xdr:cNvSpPr>
      </xdr:nvSpPr>
      <xdr:spPr bwMode="auto">
        <a:xfrm>
          <a:off x="3028950" y="87534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65</xdr:row>
      <xdr:rowOff>0</xdr:rowOff>
    </xdr:from>
    <xdr:to>
      <xdr:col>11</xdr:col>
      <xdr:colOff>9525</xdr:colOff>
      <xdr:row>65</xdr:row>
      <xdr:rowOff>0</xdr:rowOff>
    </xdr:to>
    <xdr:sp macro="" textlink="">
      <xdr:nvSpPr>
        <xdr:cNvPr id="159" name="Line 168">
          <a:extLst>
            <a:ext uri="{FF2B5EF4-FFF2-40B4-BE49-F238E27FC236}">
              <a16:creationId xmlns:a16="http://schemas.microsoft.com/office/drawing/2014/main" id="{00000000-0008-0000-0C00-00009F000000}"/>
            </a:ext>
          </a:extLst>
        </xdr:cNvPr>
        <xdr:cNvSpPr>
          <a:spLocks noChangeShapeType="1"/>
        </xdr:cNvSpPr>
      </xdr:nvSpPr>
      <xdr:spPr bwMode="auto">
        <a:xfrm>
          <a:off x="3533775"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65</xdr:row>
      <xdr:rowOff>0</xdr:rowOff>
    </xdr:from>
    <xdr:to>
      <xdr:col>12</xdr:col>
      <xdr:colOff>9525</xdr:colOff>
      <xdr:row>65</xdr:row>
      <xdr:rowOff>0</xdr:rowOff>
    </xdr:to>
    <xdr:sp macro="" textlink="">
      <xdr:nvSpPr>
        <xdr:cNvPr id="160" name="Line 169">
          <a:extLst>
            <a:ext uri="{FF2B5EF4-FFF2-40B4-BE49-F238E27FC236}">
              <a16:creationId xmlns:a16="http://schemas.microsoft.com/office/drawing/2014/main" id="{00000000-0008-0000-0C00-0000A0000000}"/>
            </a:ext>
          </a:extLst>
        </xdr:cNvPr>
        <xdr:cNvSpPr>
          <a:spLocks noChangeShapeType="1"/>
        </xdr:cNvSpPr>
      </xdr:nvSpPr>
      <xdr:spPr bwMode="auto">
        <a:xfrm>
          <a:off x="4181475" y="8753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65</xdr:row>
      <xdr:rowOff>0</xdr:rowOff>
    </xdr:from>
    <xdr:to>
      <xdr:col>13</xdr:col>
      <xdr:colOff>9525</xdr:colOff>
      <xdr:row>65</xdr:row>
      <xdr:rowOff>0</xdr:rowOff>
    </xdr:to>
    <xdr:sp macro="" textlink="">
      <xdr:nvSpPr>
        <xdr:cNvPr id="161" name="Line 170">
          <a:extLst>
            <a:ext uri="{FF2B5EF4-FFF2-40B4-BE49-F238E27FC236}">
              <a16:creationId xmlns:a16="http://schemas.microsoft.com/office/drawing/2014/main" id="{00000000-0008-0000-0C00-0000A1000000}"/>
            </a:ext>
          </a:extLst>
        </xdr:cNvPr>
        <xdr:cNvSpPr>
          <a:spLocks noChangeShapeType="1"/>
        </xdr:cNvSpPr>
      </xdr:nvSpPr>
      <xdr:spPr bwMode="auto">
        <a:xfrm>
          <a:off x="4848225"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65</xdr:row>
      <xdr:rowOff>0</xdr:rowOff>
    </xdr:from>
    <xdr:to>
      <xdr:col>14</xdr:col>
      <xdr:colOff>9525</xdr:colOff>
      <xdr:row>65</xdr:row>
      <xdr:rowOff>0</xdr:rowOff>
    </xdr:to>
    <xdr:sp macro="" textlink="">
      <xdr:nvSpPr>
        <xdr:cNvPr id="162" name="Line 171">
          <a:extLst>
            <a:ext uri="{FF2B5EF4-FFF2-40B4-BE49-F238E27FC236}">
              <a16:creationId xmlns:a16="http://schemas.microsoft.com/office/drawing/2014/main" id="{00000000-0008-0000-0C00-0000A2000000}"/>
            </a:ext>
          </a:extLst>
        </xdr:cNvPr>
        <xdr:cNvSpPr>
          <a:spLocks noChangeShapeType="1"/>
        </xdr:cNvSpPr>
      </xdr:nvSpPr>
      <xdr:spPr bwMode="auto">
        <a:xfrm>
          <a:off x="5495925" y="87534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66</xdr:row>
      <xdr:rowOff>0</xdr:rowOff>
    </xdr:from>
    <xdr:to>
      <xdr:col>6</xdr:col>
      <xdr:colOff>9525</xdr:colOff>
      <xdr:row>66</xdr:row>
      <xdr:rowOff>0</xdr:rowOff>
    </xdr:to>
    <xdr:sp macro="" textlink="">
      <xdr:nvSpPr>
        <xdr:cNvPr id="163" name="Line 172">
          <a:extLst>
            <a:ext uri="{FF2B5EF4-FFF2-40B4-BE49-F238E27FC236}">
              <a16:creationId xmlns:a16="http://schemas.microsoft.com/office/drawing/2014/main" id="{00000000-0008-0000-0C00-0000A3000000}"/>
            </a:ext>
          </a:extLst>
        </xdr:cNvPr>
        <xdr:cNvSpPr>
          <a:spLocks noChangeShapeType="1"/>
        </xdr:cNvSpPr>
      </xdr:nvSpPr>
      <xdr:spPr bwMode="auto">
        <a:xfrm>
          <a:off x="495300" y="88868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66</xdr:row>
      <xdr:rowOff>0</xdr:rowOff>
    </xdr:from>
    <xdr:to>
      <xdr:col>7</xdr:col>
      <xdr:colOff>9525</xdr:colOff>
      <xdr:row>66</xdr:row>
      <xdr:rowOff>0</xdr:rowOff>
    </xdr:to>
    <xdr:sp macro="" textlink="">
      <xdr:nvSpPr>
        <xdr:cNvPr id="164" name="Line 173">
          <a:extLst>
            <a:ext uri="{FF2B5EF4-FFF2-40B4-BE49-F238E27FC236}">
              <a16:creationId xmlns:a16="http://schemas.microsoft.com/office/drawing/2014/main" id="{00000000-0008-0000-0C00-0000A4000000}"/>
            </a:ext>
          </a:extLst>
        </xdr:cNvPr>
        <xdr:cNvSpPr>
          <a:spLocks noChangeShapeType="1"/>
        </xdr:cNvSpPr>
      </xdr:nvSpPr>
      <xdr:spPr bwMode="auto">
        <a:xfrm>
          <a:off x="1066800"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66</xdr:row>
      <xdr:rowOff>0</xdr:rowOff>
    </xdr:from>
    <xdr:to>
      <xdr:col>8</xdr:col>
      <xdr:colOff>9525</xdr:colOff>
      <xdr:row>66</xdr:row>
      <xdr:rowOff>0</xdr:rowOff>
    </xdr:to>
    <xdr:sp macro="" textlink="">
      <xdr:nvSpPr>
        <xdr:cNvPr id="165" name="Line 174">
          <a:extLst>
            <a:ext uri="{FF2B5EF4-FFF2-40B4-BE49-F238E27FC236}">
              <a16:creationId xmlns:a16="http://schemas.microsoft.com/office/drawing/2014/main" id="{00000000-0008-0000-0C00-0000A5000000}"/>
            </a:ext>
          </a:extLst>
        </xdr:cNvPr>
        <xdr:cNvSpPr>
          <a:spLocks noChangeShapeType="1"/>
        </xdr:cNvSpPr>
      </xdr:nvSpPr>
      <xdr:spPr bwMode="auto">
        <a:xfrm>
          <a:off x="1714500" y="8886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66</xdr:row>
      <xdr:rowOff>0</xdr:rowOff>
    </xdr:from>
    <xdr:to>
      <xdr:col>9</xdr:col>
      <xdr:colOff>9525</xdr:colOff>
      <xdr:row>66</xdr:row>
      <xdr:rowOff>0</xdr:rowOff>
    </xdr:to>
    <xdr:sp macro="" textlink="">
      <xdr:nvSpPr>
        <xdr:cNvPr id="166" name="Line 175">
          <a:extLst>
            <a:ext uri="{FF2B5EF4-FFF2-40B4-BE49-F238E27FC236}">
              <a16:creationId xmlns:a16="http://schemas.microsoft.com/office/drawing/2014/main" id="{00000000-0008-0000-0C00-0000A6000000}"/>
            </a:ext>
          </a:extLst>
        </xdr:cNvPr>
        <xdr:cNvSpPr>
          <a:spLocks noChangeShapeType="1"/>
        </xdr:cNvSpPr>
      </xdr:nvSpPr>
      <xdr:spPr bwMode="auto">
        <a:xfrm>
          <a:off x="2381250"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66</xdr:row>
      <xdr:rowOff>0</xdr:rowOff>
    </xdr:from>
    <xdr:to>
      <xdr:col>10</xdr:col>
      <xdr:colOff>9525</xdr:colOff>
      <xdr:row>66</xdr:row>
      <xdr:rowOff>0</xdr:rowOff>
    </xdr:to>
    <xdr:sp macro="" textlink="">
      <xdr:nvSpPr>
        <xdr:cNvPr id="167" name="Line 176">
          <a:extLst>
            <a:ext uri="{FF2B5EF4-FFF2-40B4-BE49-F238E27FC236}">
              <a16:creationId xmlns:a16="http://schemas.microsoft.com/office/drawing/2014/main" id="{00000000-0008-0000-0C00-0000A7000000}"/>
            </a:ext>
          </a:extLst>
        </xdr:cNvPr>
        <xdr:cNvSpPr>
          <a:spLocks noChangeShapeType="1"/>
        </xdr:cNvSpPr>
      </xdr:nvSpPr>
      <xdr:spPr bwMode="auto">
        <a:xfrm>
          <a:off x="3028950" y="88868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66</xdr:row>
      <xdr:rowOff>0</xdr:rowOff>
    </xdr:from>
    <xdr:to>
      <xdr:col>11</xdr:col>
      <xdr:colOff>9525</xdr:colOff>
      <xdr:row>66</xdr:row>
      <xdr:rowOff>0</xdr:rowOff>
    </xdr:to>
    <xdr:sp macro="" textlink="">
      <xdr:nvSpPr>
        <xdr:cNvPr id="168" name="Line 177">
          <a:extLst>
            <a:ext uri="{FF2B5EF4-FFF2-40B4-BE49-F238E27FC236}">
              <a16:creationId xmlns:a16="http://schemas.microsoft.com/office/drawing/2014/main" id="{00000000-0008-0000-0C00-0000A8000000}"/>
            </a:ext>
          </a:extLst>
        </xdr:cNvPr>
        <xdr:cNvSpPr>
          <a:spLocks noChangeShapeType="1"/>
        </xdr:cNvSpPr>
      </xdr:nvSpPr>
      <xdr:spPr bwMode="auto">
        <a:xfrm>
          <a:off x="3533775"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66</xdr:row>
      <xdr:rowOff>0</xdr:rowOff>
    </xdr:from>
    <xdr:to>
      <xdr:col>12</xdr:col>
      <xdr:colOff>9525</xdr:colOff>
      <xdr:row>66</xdr:row>
      <xdr:rowOff>0</xdr:rowOff>
    </xdr:to>
    <xdr:sp macro="" textlink="">
      <xdr:nvSpPr>
        <xdr:cNvPr id="169" name="Line 178">
          <a:extLst>
            <a:ext uri="{FF2B5EF4-FFF2-40B4-BE49-F238E27FC236}">
              <a16:creationId xmlns:a16="http://schemas.microsoft.com/office/drawing/2014/main" id="{00000000-0008-0000-0C00-0000A9000000}"/>
            </a:ext>
          </a:extLst>
        </xdr:cNvPr>
        <xdr:cNvSpPr>
          <a:spLocks noChangeShapeType="1"/>
        </xdr:cNvSpPr>
      </xdr:nvSpPr>
      <xdr:spPr bwMode="auto">
        <a:xfrm>
          <a:off x="4181475" y="8886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66</xdr:row>
      <xdr:rowOff>0</xdr:rowOff>
    </xdr:from>
    <xdr:to>
      <xdr:col>13</xdr:col>
      <xdr:colOff>9525</xdr:colOff>
      <xdr:row>66</xdr:row>
      <xdr:rowOff>0</xdr:rowOff>
    </xdr:to>
    <xdr:sp macro="" textlink="">
      <xdr:nvSpPr>
        <xdr:cNvPr id="170" name="Line 179">
          <a:extLst>
            <a:ext uri="{FF2B5EF4-FFF2-40B4-BE49-F238E27FC236}">
              <a16:creationId xmlns:a16="http://schemas.microsoft.com/office/drawing/2014/main" id="{00000000-0008-0000-0C00-0000AA000000}"/>
            </a:ext>
          </a:extLst>
        </xdr:cNvPr>
        <xdr:cNvSpPr>
          <a:spLocks noChangeShapeType="1"/>
        </xdr:cNvSpPr>
      </xdr:nvSpPr>
      <xdr:spPr bwMode="auto">
        <a:xfrm>
          <a:off x="4848225"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66</xdr:row>
      <xdr:rowOff>0</xdr:rowOff>
    </xdr:from>
    <xdr:to>
      <xdr:col>14</xdr:col>
      <xdr:colOff>9525</xdr:colOff>
      <xdr:row>66</xdr:row>
      <xdr:rowOff>0</xdr:rowOff>
    </xdr:to>
    <xdr:sp macro="" textlink="">
      <xdr:nvSpPr>
        <xdr:cNvPr id="171" name="Line 180">
          <a:extLst>
            <a:ext uri="{FF2B5EF4-FFF2-40B4-BE49-F238E27FC236}">
              <a16:creationId xmlns:a16="http://schemas.microsoft.com/office/drawing/2014/main" id="{00000000-0008-0000-0C00-0000AB000000}"/>
            </a:ext>
          </a:extLst>
        </xdr:cNvPr>
        <xdr:cNvSpPr>
          <a:spLocks noChangeShapeType="1"/>
        </xdr:cNvSpPr>
      </xdr:nvSpPr>
      <xdr:spPr bwMode="auto">
        <a:xfrm>
          <a:off x="5495925" y="888682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5</xdr:col>
      <xdr:colOff>9525</xdr:colOff>
      <xdr:row>69</xdr:row>
      <xdr:rowOff>0</xdr:rowOff>
    </xdr:from>
    <xdr:to>
      <xdr:col>6</xdr:col>
      <xdr:colOff>9525</xdr:colOff>
      <xdr:row>69</xdr:row>
      <xdr:rowOff>0</xdr:rowOff>
    </xdr:to>
    <xdr:sp macro="" textlink="">
      <xdr:nvSpPr>
        <xdr:cNvPr id="172" name="Line 181">
          <a:extLst>
            <a:ext uri="{FF2B5EF4-FFF2-40B4-BE49-F238E27FC236}">
              <a16:creationId xmlns:a16="http://schemas.microsoft.com/office/drawing/2014/main" id="{00000000-0008-0000-0C00-0000AC000000}"/>
            </a:ext>
          </a:extLst>
        </xdr:cNvPr>
        <xdr:cNvSpPr>
          <a:spLocks noChangeShapeType="1"/>
        </xdr:cNvSpPr>
      </xdr:nvSpPr>
      <xdr:spPr bwMode="auto">
        <a:xfrm>
          <a:off x="495300" y="92868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6</xdr:col>
      <xdr:colOff>9525</xdr:colOff>
      <xdr:row>69</xdr:row>
      <xdr:rowOff>0</xdr:rowOff>
    </xdr:from>
    <xdr:to>
      <xdr:col>7</xdr:col>
      <xdr:colOff>9525</xdr:colOff>
      <xdr:row>69</xdr:row>
      <xdr:rowOff>0</xdr:rowOff>
    </xdr:to>
    <xdr:sp macro="" textlink="">
      <xdr:nvSpPr>
        <xdr:cNvPr id="173" name="Line 182">
          <a:extLst>
            <a:ext uri="{FF2B5EF4-FFF2-40B4-BE49-F238E27FC236}">
              <a16:creationId xmlns:a16="http://schemas.microsoft.com/office/drawing/2014/main" id="{00000000-0008-0000-0C00-0000AD000000}"/>
            </a:ext>
          </a:extLst>
        </xdr:cNvPr>
        <xdr:cNvSpPr>
          <a:spLocks noChangeShapeType="1"/>
        </xdr:cNvSpPr>
      </xdr:nvSpPr>
      <xdr:spPr bwMode="auto">
        <a:xfrm>
          <a:off x="1066800"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7</xdr:col>
      <xdr:colOff>9525</xdr:colOff>
      <xdr:row>69</xdr:row>
      <xdr:rowOff>0</xdr:rowOff>
    </xdr:from>
    <xdr:to>
      <xdr:col>8</xdr:col>
      <xdr:colOff>9525</xdr:colOff>
      <xdr:row>69</xdr:row>
      <xdr:rowOff>0</xdr:rowOff>
    </xdr:to>
    <xdr:sp macro="" textlink="">
      <xdr:nvSpPr>
        <xdr:cNvPr id="174" name="Line 183">
          <a:extLst>
            <a:ext uri="{FF2B5EF4-FFF2-40B4-BE49-F238E27FC236}">
              <a16:creationId xmlns:a16="http://schemas.microsoft.com/office/drawing/2014/main" id="{00000000-0008-0000-0C00-0000AE000000}"/>
            </a:ext>
          </a:extLst>
        </xdr:cNvPr>
        <xdr:cNvSpPr>
          <a:spLocks noChangeShapeType="1"/>
        </xdr:cNvSpPr>
      </xdr:nvSpPr>
      <xdr:spPr bwMode="auto">
        <a:xfrm>
          <a:off x="1714500" y="9286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69</xdr:row>
      <xdr:rowOff>0</xdr:rowOff>
    </xdr:from>
    <xdr:to>
      <xdr:col>9</xdr:col>
      <xdr:colOff>9525</xdr:colOff>
      <xdr:row>69</xdr:row>
      <xdr:rowOff>0</xdr:rowOff>
    </xdr:to>
    <xdr:sp macro="" textlink="">
      <xdr:nvSpPr>
        <xdr:cNvPr id="175" name="Line 184">
          <a:extLst>
            <a:ext uri="{FF2B5EF4-FFF2-40B4-BE49-F238E27FC236}">
              <a16:creationId xmlns:a16="http://schemas.microsoft.com/office/drawing/2014/main" id="{00000000-0008-0000-0C00-0000AF000000}"/>
            </a:ext>
          </a:extLst>
        </xdr:cNvPr>
        <xdr:cNvSpPr>
          <a:spLocks noChangeShapeType="1"/>
        </xdr:cNvSpPr>
      </xdr:nvSpPr>
      <xdr:spPr bwMode="auto">
        <a:xfrm>
          <a:off x="2381250"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9</xdr:col>
      <xdr:colOff>9525</xdr:colOff>
      <xdr:row>69</xdr:row>
      <xdr:rowOff>0</xdr:rowOff>
    </xdr:from>
    <xdr:to>
      <xdr:col>10</xdr:col>
      <xdr:colOff>9525</xdr:colOff>
      <xdr:row>69</xdr:row>
      <xdr:rowOff>0</xdr:rowOff>
    </xdr:to>
    <xdr:sp macro="" textlink="">
      <xdr:nvSpPr>
        <xdr:cNvPr id="176" name="Line 185">
          <a:extLst>
            <a:ext uri="{FF2B5EF4-FFF2-40B4-BE49-F238E27FC236}">
              <a16:creationId xmlns:a16="http://schemas.microsoft.com/office/drawing/2014/main" id="{00000000-0008-0000-0C00-0000B0000000}"/>
            </a:ext>
          </a:extLst>
        </xdr:cNvPr>
        <xdr:cNvSpPr>
          <a:spLocks noChangeShapeType="1"/>
        </xdr:cNvSpPr>
      </xdr:nvSpPr>
      <xdr:spPr bwMode="auto">
        <a:xfrm>
          <a:off x="3028950" y="92868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10</xdr:col>
      <xdr:colOff>9525</xdr:colOff>
      <xdr:row>69</xdr:row>
      <xdr:rowOff>0</xdr:rowOff>
    </xdr:from>
    <xdr:to>
      <xdr:col>11</xdr:col>
      <xdr:colOff>9525</xdr:colOff>
      <xdr:row>69</xdr:row>
      <xdr:rowOff>0</xdr:rowOff>
    </xdr:to>
    <xdr:sp macro="" textlink="">
      <xdr:nvSpPr>
        <xdr:cNvPr id="177" name="Line 186">
          <a:extLst>
            <a:ext uri="{FF2B5EF4-FFF2-40B4-BE49-F238E27FC236}">
              <a16:creationId xmlns:a16="http://schemas.microsoft.com/office/drawing/2014/main" id="{00000000-0008-0000-0C00-0000B1000000}"/>
            </a:ext>
          </a:extLst>
        </xdr:cNvPr>
        <xdr:cNvSpPr>
          <a:spLocks noChangeShapeType="1"/>
        </xdr:cNvSpPr>
      </xdr:nvSpPr>
      <xdr:spPr bwMode="auto">
        <a:xfrm>
          <a:off x="3533775"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11</xdr:col>
      <xdr:colOff>9525</xdr:colOff>
      <xdr:row>69</xdr:row>
      <xdr:rowOff>0</xdr:rowOff>
    </xdr:from>
    <xdr:to>
      <xdr:col>12</xdr:col>
      <xdr:colOff>9525</xdr:colOff>
      <xdr:row>69</xdr:row>
      <xdr:rowOff>0</xdr:rowOff>
    </xdr:to>
    <xdr:sp macro="" textlink="">
      <xdr:nvSpPr>
        <xdr:cNvPr id="178" name="Line 187">
          <a:extLst>
            <a:ext uri="{FF2B5EF4-FFF2-40B4-BE49-F238E27FC236}">
              <a16:creationId xmlns:a16="http://schemas.microsoft.com/office/drawing/2014/main" id="{00000000-0008-0000-0C00-0000B2000000}"/>
            </a:ext>
          </a:extLst>
        </xdr:cNvPr>
        <xdr:cNvSpPr>
          <a:spLocks noChangeShapeType="1"/>
        </xdr:cNvSpPr>
      </xdr:nvSpPr>
      <xdr:spPr bwMode="auto">
        <a:xfrm>
          <a:off x="4181475" y="9286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9525</xdr:colOff>
      <xdr:row>69</xdr:row>
      <xdr:rowOff>0</xdr:rowOff>
    </xdr:from>
    <xdr:to>
      <xdr:col>13</xdr:col>
      <xdr:colOff>9525</xdr:colOff>
      <xdr:row>69</xdr:row>
      <xdr:rowOff>0</xdr:rowOff>
    </xdr:to>
    <xdr:sp macro="" textlink="">
      <xdr:nvSpPr>
        <xdr:cNvPr id="179" name="Line 188">
          <a:extLst>
            <a:ext uri="{FF2B5EF4-FFF2-40B4-BE49-F238E27FC236}">
              <a16:creationId xmlns:a16="http://schemas.microsoft.com/office/drawing/2014/main" id="{00000000-0008-0000-0C00-0000B3000000}"/>
            </a:ext>
          </a:extLst>
        </xdr:cNvPr>
        <xdr:cNvSpPr>
          <a:spLocks noChangeShapeType="1"/>
        </xdr:cNvSpPr>
      </xdr:nvSpPr>
      <xdr:spPr bwMode="auto">
        <a:xfrm>
          <a:off x="4848225"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69</xdr:row>
      <xdr:rowOff>0</xdr:rowOff>
    </xdr:from>
    <xdr:to>
      <xdr:col>14</xdr:col>
      <xdr:colOff>9525</xdr:colOff>
      <xdr:row>69</xdr:row>
      <xdr:rowOff>0</xdr:rowOff>
    </xdr:to>
    <xdr:sp macro="" textlink="">
      <xdr:nvSpPr>
        <xdr:cNvPr id="180" name="Line 189">
          <a:extLst>
            <a:ext uri="{FF2B5EF4-FFF2-40B4-BE49-F238E27FC236}">
              <a16:creationId xmlns:a16="http://schemas.microsoft.com/office/drawing/2014/main" id="{00000000-0008-0000-0C00-0000B4000000}"/>
            </a:ext>
          </a:extLst>
        </xdr:cNvPr>
        <xdr:cNvSpPr>
          <a:spLocks noChangeShapeType="1"/>
        </xdr:cNvSpPr>
      </xdr:nvSpPr>
      <xdr:spPr bwMode="auto">
        <a:xfrm>
          <a:off x="5495925" y="9286875"/>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81" name="Line 17">
          <a:extLst>
            <a:ext uri="{FF2B5EF4-FFF2-40B4-BE49-F238E27FC236}">
              <a16:creationId xmlns:a16="http://schemas.microsoft.com/office/drawing/2014/main" id="{00000000-0008-0000-0C00-0000B5000000}"/>
            </a:ext>
          </a:extLst>
        </xdr:cNvPr>
        <xdr:cNvSpPr>
          <a:spLocks noChangeShapeType="1"/>
        </xdr:cNvSpPr>
      </xdr:nvSpPr>
      <xdr:spPr bwMode="auto">
        <a:xfrm>
          <a:off x="28575" y="1809750"/>
          <a:ext cx="4667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0</xdr:col>
      <xdr:colOff>9525</xdr:colOff>
      <xdr:row>8</xdr:row>
      <xdr:rowOff>0</xdr:rowOff>
    </xdr:from>
    <xdr:to>
      <xdr:col>1</xdr:col>
      <xdr:colOff>19050</xdr:colOff>
      <xdr:row>8</xdr:row>
      <xdr:rowOff>0</xdr:rowOff>
    </xdr:to>
    <xdr:sp macro="" textlink="">
      <xdr:nvSpPr>
        <xdr:cNvPr id="194" name="Line 17">
          <a:extLst>
            <a:ext uri="{FF2B5EF4-FFF2-40B4-BE49-F238E27FC236}">
              <a16:creationId xmlns:a16="http://schemas.microsoft.com/office/drawing/2014/main" id="{00000000-0008-0000-0C00-0000C2000000}"/>
            </a:ext>
          </a:extLst>
        </xdr:cNvPr>
        <xdr:cNvSpPr>
          <a:spLocks noChangeShapeType="1"/>
        </xdr:cNvSpPr>
      </xdr:nvSpPr>
      <xdr:spPr bwMode="auto">
        <a:xfrm>
          <a:off x="38100" y="1809750"/>
          <a:ext cx="4667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2</xdr:row>
      <xdr:rowOff>0</xdr:rowOff>
    </xdr:from>
    <xdr:to>
      <xdr:col>2</xdr:col>
      <xdr:colOff>19050</xdr:colOff>
      <xdr:row>2</xdr:row>
      <xdr:rowOff>0</xdr:rowOff>
    </xdr:to>
    <xdr:sp macro="" textlink="">
      <xdr:nvSpPr>
        <xdr:cNvPr id="195" name="Line 28">
          <a:extLst>
            <a:ext uri="{FF2B5EF4-FFF2-40B4-BE49-F238E27FC236}">
              <a16:creationId xmlns:a16="http://schemas.microsoft.com/office/drawing/2014/main" id="{00000000-0008-0000-0C00-0000C3000000}"/>
            </a:ext>
          </a:extLst>
        </xdr:cNvPr>
        <xdr:cNvSpPr>
          <a:spLocks noChangeShapeType="1"/>
        </xdr:cNvSpPr>
      </xdr:nvSpPr>
      <xdr:spPr bwMode="auto">
        <a:xfrm>
          <a:off x="504825" y="657225"/>
          <a:ext cx="21812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19050</xdr:colOff>
      <xdr:row>2</xdr:row>
      <xdr:rowOff>0</xdr:rowOff>
    </xdr:from>
    <xdr:to>
      <xdr:col>3</xdr:col>
      <xdr:colOff>9525</xdr:colOff>
      <xdr:row>2</xdr:row>
      <xdr:rowOff>0</xdr:rowOff>
    </xdr:to>
    <xdr:sp macro="" textlink="">
      <xdr:nvSpPr>
        <xdr:cNvPr id="196" name="Line 29">
          <a:extLst>
            <a:ext uri="{FF2B5EF4-FFF2-40B4-BE49-F238E27FC236}">
              <a16:creationId xmlns:a16="http://schemas.microsoft.com/office/drawing/2014/main" id="{00000000-0008-0000-0C00-0000C4000000}"/>
            </a:ext>
          </a:extLst>
        </xdr:cNvPr>
        <xdr:cNvSpPr>
          <a:spLocks noChangeShapeType="1"/>
        </xdr:cNvSpPr>
      </xdr:nvSpPr>
      <xdr:spPr bwMode="auto">
        <a:xfrm>
          <a:off x="2686050" y="657225"/>
          <a:ext cx="269557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xdr:row>
      <xdr:rowOff>0</xdr:rowOff>
    </xdr:from>
    <xdr:to>
      <xdr:col>4</xdr:col>
      <xdr:colOff>9525</xdr:colOff>
      <xdr:row>2</xdr:row>
      <xdr:rowOff>0</xdr:rowOff>
    </xdr:to>
    <xdr:sp macro="" textlink="">
      <xdr:nvSpPr>
        <xdr:cNvPr id="197" name="Line 30">
          <a:extLst>
            <a:ext uri="{FF2B5EF4-FFF2-40B4-BE49-F238E27FC236}">
              <a16:creationId xmlns:a16="http://schemas.microsoft.com/office/drawing/2014/main" id="{00000000-0008-0000-0C00-0000C5000000}"/>
            </a:ext>
          </a:extLst>
        </xdr:cNvPr>
        <xdr:cNvSpPr>
          <a:spLocks noChangeShapeType="1"/>
        </xdr:cNvSpPr>
      </xdr:nvSpPr>
      <xdr:spPr bwMode="auto">
        <a:xfrm>
          <a:off x="5381625" y="657225"/>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8</xdr:row>
      <xdr:rowOff>0</xdr:rowOff>
    </xdr:from>
    <xdr:to>
      <xdr:col>2</xdr:col>
      <xdr:colOff>19050</xdr:colOff>
      <xdr:row>8</xdr:row>
      <xdr:rowOff>0</xdr:rowOff>
    </xdr:to>
    <xdr:sp macro="" textlink="">
      <xdr:nvSpPr>
        <xdr:cNvPr id="198" name="Line 31">
          <a:extLst>
            <a:ext uri="{FF2B5EF4-FFF2-40B4-BE49-F238E27FC236}">
              <a16:creationId xmlns:a16="http://schemas.microsoft.com/office/drawing/2014/main" id="{00000000-0008-0000-0C00-0000C6000000}"/>
            </a:ext>
          </a:extLst>
        </xdr:cNvPr>
        <xdr:cNvSpPr>
          <a:spLocks noChangeShapeType="1"/>
        </xdr:cNvSpPr>
      </xdr:nvSpPr>
      <xdr:spPr bwMode="auto">
        <a:xfrm>
          <a:off x="504825" y="1809750"/>
          <a:ext cx="21812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19050</xdr:colOff>
      <xdr:row>8</xdr:row>
      <xdr:rowOff>0</xdr:rowOff>
    </xdr:from>
    <xdr:to>
      <xdr:col>3</xdr:col>
      <xdr:colOff>9525</xdr:colOff>
      <xdr:row>8</xdr:row>
      <xdr:rowOff>0</xdr:rowOff>
    </xdr:to>
    <xdr:sp macro="" textlink="">
      <xdr:nvSpPr>
        <xdr:cNvPr id="199" name="Line 32">
          <a:extLst>
            <a:ext uri="{FF2B5EF4-FFF2-40B4-BE49-F238E27FC236}">
              <a16:creationId xmlns:a16="http://schemas.microsoft.com/office/drawing/2014/main" id="{00000000-0008-0000-0C00-0000C7000000}"/>
            </a:ext>
          </a:extLst>
        </xdr:cNvPr>
        <xdr:cNvSpPr>
          <a:spLocks noChangeShapeType="1"/>
        </xdr:cNvSpPr>
      </xdr:nvSpPr>
      <xdr:spPr bwMode="auto">
        <a:xfrm>
          <a:off x="2686050" y="1809750"/>
          <a:ext cx="269557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8</xdr:row>
      <xdr:rowOff>0</xdr:rowOff>
    </xdr:from>
    <xdr:to>
      <xdr:col>4</xdr:col>
      <xdr:colOff>9525</xdr:colOff>
      <xdr:row>8</xdr:row>
      <xdr:rowOff>0</xdr:rowOff>
    </xdr:to>
    <xdr:sp macro="" textlink="">
      <xdr:nvSpPr>
        <xdr:cNvPr id="200" name="Line 33">
          <a:extLst>
            <a:ext uri="{FF2B5EF4-FFF2-40B4-BE49-F238E27FC236}">
              <a16:creationId xmlns:a16="http://schemas.microsoft.com/office/drawing/2014/main" id="{00000000-0008-0000-0C00-0000C8000000}"/>
            </a:ext>
          </a:extLst>
        </xdr:cNvPr>
        <xdr:cNvSpPr>
          <a:spLocks noChangeShapeType="1"/>
        </xdr:cNvSpPr>
      </xdr:nvSpPr>
      <xdr:spPr bwMode="auto">
        <a:xfrm>
          <a:off x="5381625" y="1809750"/>
          <a:ext cx="8191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13</xdr:row>
      <xdr:rowOff>0</xdr:rowOff>
    </xdr:from>
    <xdr:to>
      <xdr:col>2</xdr:col>
      <xdr:colOff>19050</xdr:colOff>
      <xdr:row>13</xdr:row>
      <xdr:rowOff>0</xdr:rowOff>
    </xdr:to>
    <xdr:sp macro="" textlink="">
      <xdr:nvSpPr>
        <xdr:cNvPr id="201" name="Line 34">
          <a:extLst>
            <a:ext uri="{FF2B5EF4-FFF2-40B4-BE49-F238E27FC236}">
              <a16:creationId xmlns:a16="http://schemas.microsoft.com/office/drawing/2014/main" id="{00000000-0008-0000-0C00-0000C9000000}"/>
            </a:ext>
          </a:extLst>
        </xdr:cNvPr>
        <xdr:cNvSpPr>
          <a:spLocks noChangeShapeType="1"/>
        </xdr:cNvSpPr>
      </xdr:nvSpPr>
      <xdr:spPr bwMode="auto">
        <a:xfrm>
          <a:off x="504825" y="2495550"/>
          <a:ext cx="21812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19050</xdr:colOff>
      <xdr:row>13</xdr:row>
      <xdr:rowOff>0</xdr:rowOff>
    </xdr:from>
    <xdr:to>
      <xdr:col>3</xdr:col>
      <xdr:colOff>9525</xdr:colOff>
      <xdr:row>13</xdr:row>
      <xdr:rowOff>0</xdr:rowOff>
    </xdr:to>
    <xdr:sp macro="" textlink="">
      <xdr:nvSpPr>
        <xdr:cNvPr id="202" name="Line 35">
          <a:extLst>
            <a:ext uri="{FF2B5EF4-FFF2-40B4-BE49-F238E27FC236}">
              <a16:creationId xmlns:a16="http://schemas.microsoft.com/office/drawing/2014/main" id="{00000000-0008-0000-0C00-0000CA000000}"/>
            </a:ext>
          </a:extLst>
        </xdr:cNvPr>
        <xdr:cNvSpPr>
          <a:spLocks noChangeShapeType="1"/>
        </xdr:cNvSpPr>
      </xdr:nvSpPr>
      <xdr:spPr bwMode="auto">
        <a:xfrm>
          <a:off x="2686050" y="2495550"/>
          <a:ext cx="26955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13</xdr:row>
      <xdr:rowOff>0</xdr:rowOff>
    </xdr:from>
    <xdr:to>
      <xdr:col>4</xdr:col>
      <xdr:colOff>9525</xdr:colOff>
      <xdr:row>13</xdr:row>
      <xdr:rowOff>0</xdr:rowOff>
    </xdr:to>
    <xdr:sp macro="" textlink="">
      <xdr:nvSpPr>
        <xdr:cNvPr id="203" name="Line 36">
          <a:extLst>
            <a:ext uri="{FF2B5EF4-FFF2-40B4-BE49-F238E27FC236}">
              <a16:creationId xmlns:a16="http://schemas.microsoft.com/office/drawing/2014/main" id="{00000000-0008-0000-0C00-0000CB000000}"/>
            </a:ext>
          </a:extLst>
        </xdr:cNvPr>
        <xdr:cNvSpPr>
          <a:spLocks noChangeShapeType="1"/>
        </xdr:cNvSpPr>
      </xdr:nvSpPr>
      <xdr:spPr bwMode="auto">
        <a:xfrm>
          <a:off x="5381625" y="24955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15</xdr:row>
      <xdr:rowOff>0</xdr:rowOff>
    </xdr:from>
    <xdr:to>
      <xdr:col>2</xdr:col>
      <xdr:colOff>19050</xdr:colOff>
      <xdr:row>15</xdr:row>
      <xdr:rowOff>0</xdr:rowOff>
    </xdr:to>
    <xdr:sp macro="" textlink="">
      <xdr:nvSpPr>
        <xdr:cNvPr id="204" name="Line 37">
          <a:extLst>
            <a:ext uri="{FF2B5EF4-FFF2-40B4-BE49-F238E27FC236}">
              <a16:creationId xmlns:a16="http://schemas.microsoft.com/office/drawing/2014/main" id="{00000000-0008-0000-0C00-0000CC000000}"/>
            </a:ext>
          </a:extLst>
        </xdr:cNvPr>
        <xdr:cNvSpPr>
          <a:spLocks noChangeShapeType="1"/>
        </xdr:cNvSpPr>
      </xdr:nvSpPr>
      <xdr:spPr bwMode="auto">
        <a:xfrm>
          <a:off x="504825" y="2762250"/>
          <a:ext cx="21812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19050</xdr:colOff>
      <xdr:row>15</xdr:row>
      <xdr:rowOff>0</xdr:rowOff>
    </xdr:from>
    <xdr:to>
      <xdr:col>3</xdr:col>
      <xdr:colOff>9525</xdr:colOff>
      <xdr:row>15</xdr:row>
      <xdr:rowOff>0</xdr:rowOff>
    </xdr:to>
    <xdr:sp macro="" textlink="">
      <xdr:nvSpPr>
        <xdr:cNvPr id="205" name="Line 38">
          <a:extLst>
            <a:ext uri="{FF2B5EF4-FFF2-40B4-BE49-F238E27FC236}">
              <a16:creationId xmlns:a16="http://schemas.microsoft.com/office/drawing/2014/main" id="{00000000-0008-0000-0C00-0000CD000000}"/>
            </a:ext>
          </a:extLst>
        </xdr:cNvPr>
        <xdr:cNvSpPr>
          <a:spLocks noChangeShapeType="1"/>
        </xdr:cNvSpPr>
      </xdr:nvSpPr>
      <xdr:spPr bwMode="auto">
        <a:xfrm>
          <a:off x="2686050" y="2762250"/>
          <a:ext cx="26955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15</xdr:row>
      <xdr:rowOff>0</xdr:rowOff>
    </xdr:from>
    <xdr:to>
      <xdr:col>4</xdr:col>
      <xdr:colOff>9525</xdr:colOff>
      <xdr:row>15</xdr:row>
      <xdr:rowOff>0</xdr:rowOff>
    </xdr:to>
    <xdr:sp macro="" textlink="">
      <xdr:nvSpPr>
        <xdr:cNvPr id="206" name="Line 39">
          <a:extLst>
            <a:ext uri="{FF2B5EF4-FFF2-40B4-BE49-F238E27FC236}">
              <a16:creationId xmlns:a16="http://schemas.microsoft.com/office/drawing/2014/main" id="{00000000-0008-0000-0C00-0000CE000000}"/>
            </a:ext>
          </a:extLst>
        </xdr:cNvPr>
        <xdr:cNvSpPr>
          <a:spLocks noChangeShapeType="1"/>
        </xdr:cNvSpPr>
      </xdr:nvSpPr>
      <xdr:spPr bwMode="auto">
        <a:xfrm>
          <a:off x="5381625" y="27622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19050</xdr:colOff>
      <xdr:row>21</xdr:row>
      <xdr:rowOff>0</xdr:rowOff>
    </xdr:from>
    <xdr:to>
      <xdr:col>2</xdr:col>
      <xdr:colOff>19050</xdr:colOff>
      <xdr:row>21</xdr:row>
      <xdr:rowOff>0</xdr:rowOff>
    </xdr:to>
    <xdr:sp macro="" textlink="">
      <xdr:nvSpPr>
        <xdr:cNvPr id="207" name="Line 46">
          <a:extLst>
            <a:ext uri="{FF2B5EF4-FFF2-40B4-BE49-F238E27FC236}">
              <a16:creationId xmlns:a16="http://schemas.microsoft.com/office/drawing/2014/main" id="{00000000-0008-0000-0C00-0000CF000000}"/>
            </a:ext>
          </a:extLst>
        </xdr:cNvPr>
        <xdr:cNvSpPr>
          <a:spLocks noChangeShapeType="1"/>
        </xdr:cNvSpPr>
      </xdr:nvSpPr>
      <xdr:spPr bwMode="auto">
        <a:xfrm>
          <a:off x="504825" y="3562350"/>
          <a:ext cx="21812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19050</xdr:colOff>
      <xdr:row>21</xdr:row>
      <xdr:rowOff>0</xdr:rowOff>
    </xdr:from>
    <xdr:to>
      <xdr:col>3</xdr:col>
      <xdr:colOff>9525</xdr:colOff>
      <xdr:row>21</xdr:row>
      <xdr:rowOff>0</xdr:rowOff>
    </xdr:to>
    <xdr:sp macro="" textlink="">
      <xdr:nvSpPr>
        <xdr:cNvPr id="208" name="Line 47">
          <a:extLst>
            <a:ext uri="{FF2B5EF4-FFF2-40B4-BE49-F238E27FC236}">
              <a16:creationId xmlns:a16="http://schemas.microsoft.com/office/drawing/2014/main" id="{00000000-0008-0000-0C00-0000D0000000}"/>
            </a:ext>
          </a:extLst>
        </xdr:cNvPr>
        <xdr:cNvSpPr>
          <a:spLocks noChangeShapeType="1"/>
        </xdr:cNvSpPr>
      </xdr:nvSpPr>
      <xdr:spPr bwMode="auto">
        <a:xfrm>
          <a:off x="2686050" y="3562350"/>
          <a:ext cx="269557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9525</xdr:colOff>
      <xdr:row>21</xdr:row>
      <xdr:rowOff>0</xdr:rowOff>
    </xdr:from>
    <xdr:to>
      <xdr:col>4</xdr:col>
      <xdr:colOff>9525</xdr:colOff>
      <xdr:row>21</xdr:row>
      <xdr:rowOff>0</xdr:rowOff>
    </xdr:to>
    <xdr:sp macro="" textlink="">
      <xdr:nvSpPr>
        <xdr:cNvPr id="209" name="Line 48">
          <a:extLst>
            <a:ext uri="{FF2B5EF4-FFF2-40B4-BE49-F238E27FC236}">
              <a16:creationId xmlns:a16="http://schemas.microsoft.com/office/drawing/2014/main" id="{00000000-0008-0000-0C00-0000D1000000}"/>
            </a:ext>
          </a:extLst>
        </xdr:cNvPr>
        <xdr:cNvSpPr>
          <a:spLocks noChangeShapeType="1"/>
        </xdr:cNvSpPr>
      </xdr:nvSpPr>
      <xdr:spPr bwMode="auto">
        <a:xfrm>
          <a:off x="5381625" y="3562350"/>
          <a:ext cx="8191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4</xdr:col>
      <xdr:colOff>9525</xdr:colOff>
      <xdr:row>13</xdr:row>
      <xdr:rowOff>0</xdr:rowOff>
    </xdr:from>
    <xdr:to>
      <xdr:col>5</xdr:col>
      <xdr:colOff>9525</xdr:colOff>
      <xdr:row>13</xdr:row>
      <xdr:rowOff>0</xdr:rowOff>
    </xdr:to>
    <xdr:sp macro="" textlink="">
      <xdr:nvSpPr>
        <xdr:cNvPr id="382" name="Line 17">
          <a:extLst>
            <a:ext uri="{FF2B5EF4-FFF2-40B4-BE49-F238E27FC236}">
              <a16:creationId xmlns:a16="http://schemas.microsoft.com/office/drawing/2014/main" id="{00000000-0008-0000-0C00-00007E010000}"/>
            </a:ext>
          </a:extLst>
        </xdr:cNvPr>
        <xdr:cNvSpPr>
          <a:spLocks noChangeShapeType="1"/>
        </xdr:cNvSpPr>
      </xdr:nvSpPr>
      <xdr:spPr bwMode="auto">
        <a:xfrm>
          <a:off x="38100" y="1809750"/>
          <a:ext cx="4572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7</xdr:row>
      <xdr:rowOff>0</xdr:rowOff>
    </xdr:from>
    <xdr:to>
      <xdr:col>6</xdr:col>
      <xdr:colOff>9525</xdr:colOff>
      <xdr:row>7</xdr:row>
      <xdr:rowOff>0</xdr:rowOff>
    </xdr:to>
    <xdr:sp macro="" textlink="">
      <xdr:nvSpPr>
        <xdr:cNvPr id="383" name="Line 28">
          <a:extLst>
            <a:ext uri="{FF2B5EF4-FFF2-40B4-BE49-F238E27FC236}">
              <a16:creationId xmlns:a16="http://schemas.microsoft.com/office/drawing/2014/main" id="{00000000-0008-0000-0C00-00007F010000}"/>
            </a:ext>
          </a:extLst>
        </xdr:cNvPr>
        <xdr:cNvSpPr>
          <a:spLocks noChangeShapeType="1"/>
        </xdr:cNvSpPr>
      </xdr:nvSpPr>
      <xdr:spPr bwMode="auto">
        <a:xfrm>
          <a:off x="495300" y="657225"/>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7</xdr:row>
      <xdr:rowOff>0</xdr:rowOff>
    </xdr:from>
    <xdr:to>
      <xdr:col>7</xdr:col>
      <xdr:colOff>9525</xdr:colOff>
      <xdr:row>7</xdr:row>
      <xdr:rowOff>0</xdr:rowOff>
    </xdr:to>
    <xdr:sp macro="" textlink="">
      <xdr:nvSpPr>
        <xdr:cNvPr id="385" name="Line 29">
          <a:extLst>
            <a:ext uri="{FF2B5EF4-FFF2-40B4-BE49-F238E27FC236}">
              <a16:creationId xmlns:a16="http://schemas.microsoft.com/office/drawing/2014/main" id="{00000000-0008-0000-0C00-000081010000}"/>
            </a:ext>
          </a:extLst>
        </xdr:cNvPr>
        <xdr:cNvSpPr>
          <a:spLocks noChangeShapeType="1"/>
        </xdr:cNvSpPr>
      </xdr:nvSpPr>
      <xdr:spPr bwMode="auto">
        <a:xfrm>
          <a:off x="1066800" y="657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7</xdr:row>
      <xdr:rowOff>0</xdr:rowOff>
    </xdr:from>
    <xdr:to>
      <xdr:col>8</xdr:col>
      <xdr:colOff>9525</xdr:colOff>
      <xdr:row>7</xdr:row>
      <xdr:rowOff>0</xdr:rowOff>
    </xdr:to>
    <xdr:sp macro="" textlink="">
      <xdr:nvSpPr>
        <xdr:cNvPr id="386" name="Line 30">
          <a:extLst>
            <a:ext uri="{FF2B5EF4-FFF2-40B4-BE49-F238E27FC236}">
              <a16:creationId xmlns:a16="http://schemas.microsoft.com/office/drawing/2014/main" id="{00000000-0008-0000-0C00-000082010000}"/>
            </a:ext>
          </a:extLst>
        </xdr:cNvPr>
        <xdr:cNvSpPr>
          <a:spLocks noChangeShapeType="1"/>
        </xdr:cNvSpPr>
      </xdr:nvSpPr>
      <xdr:spPr bwMode="auto">
        <a:xfrm>
          <a:off x="1714500" y="6572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7</xdr:row>
      <xdr:rowOff>0</xdr:rowOff>
    </xdr:from>
    <xdr:to>
      <xdr:col>9</xdr:col>
      <xdr:colOff>9525</xdr:colOff>
      <xdr:row>7</xdr:row>
      <xdr:rowOff>0</xdr:rowOff>
    </xdr:to>
    <xdr:sp macro="" textlink="">
      <xdr:nvSpPr>
        <xdr:cNvPr id="387" name="Line 31">
          <a:extLst>
            <a:ext uri="{FF2B5EF4-FFF2-40B4-BE49-F238E27FC236}">
              <a16:creationId xmlns:a16="http://schemas.microsoft.com/office/drawing/2014/main" id="{00000000-0008-0000-0C00-000083010000}"/>
            </a:ext>
          </a:extLst>
        </xdr:cNvPr>
        <xdr:cNvSpPr>
          <a:spLocks noChangeShapeType="1"/>
        </xdr:cNvSpPr>
      </xdr:nvSpPr>
      <xdr:spPr bwMode="auto">
        <a:xfrm>
          <a:off x="2381250" y="657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7</xdr:row>
      <xdr:rowOff>0</xdr:rowOff>
    </xdr:from>
    <xdr:to>
      <xdr:col>10</xdr:col>
      <xdr:colOff>9525</xdr:colOff>
      <xdr:row>7</xdr:row>
      <xdr:rowOff>0</xdr:rowOff>
    </xdr:to>
    <xdr:sp macro="" textlink="">
      <xdr:nvSpPr>
        <xdr:cNvPr id="388" name="Line 32">
          <a:extLst>
            <a:ext uri="{FF2B5EF4-FFF2-40B4-BE49-F238E27FC236}">
              <a16:creationId xmlns:a16="http://schemas.microsoft.com/office/drawing/2014/main" id="{00000000-0008-0000-0C00-000084010000}"/>
            </a:ext>
          </a:extLst>
        </xdr:cNvPr>
        <xdr:cNvSpPr>
          <a:spLocks noChangeShapeType="1"/>
        </xdr:cNvSpPr>
      </xdr:nvSpPr>
      <xdr:spPr bwMode="auto">
        <a:xfrm>
          <a:off x="3028950" y="657225"/>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7</xdr:row>
      <xdr:rowOff>0</xdr:rowOff>
    </xdr:from>
    <xdr:to>
      <xdr:col>11</xdr:col>
      <xdr:colOff>9525</xdr:colOff>
      <xdr:row>7</xdr:row>
      <xdr:rowOff>0</xdr:rowOff>
    </xdr:to>
    <xdr:sp macro="" textlink="">
      <xdr:nvSpPr>
        <xdr:cNvPr id="389" name="Line 33">
          <a:extLst>
            <a:ext uri="{FF2B5EF4-FFF2-40B4-BE49-F238E27FC236}">
              <a16:creationId xmlns:a16="http://schemas.microsoft.com/office/drawing/2014/main" id="{00000000-0008-0000-0C00-000085010000}"/>
            </a:ext>
          </a:extLst>
        </xdr:cNvPr>
        <xdr:cNvSpPr>
          <a:spLocks noChangeShapeType="1"/>
        </xdr:cNvSpPr>
      </xdr:nvSpPr>
      <xdr:spPr bwMode="auto">
        <a:xfrm>
          <a:off x="3533775" y="657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7</xdr:row>
      <xdr:rowOff>0</xdr:rowOff>
    </xdr:from>
    <xdr:to>
      <xdr:col>12</xdr:col>
      <xdr:colOff>9525</xdr:colOff>
      <xdr:row>7</xdr:row>
      <xdr:rowOff>0</xdr:rowOff>
    </xdr:to>
    <xdr:sp macro="" textlink="">
      <xdr:nvSpPr>
        <xdr:cNvPr id="390" name="Line 34">
          <a:extLst>
            <a:ext uri="{FF2B5EF4-FFF2-40B4-BE49-F238E27FC236}">
              <a16:creationId xmlns:a16="http://schemas.microsoft.com/office/drawing/2014/main" id="{00000000-0008-0000-0C00-000086010000}"/>
            </a:ext>
          </a:extLst>
        </xdr:cNvPr>
        <xdr:cNvSpPr>
          <a:spLocks noChangeShapeType="1"/>
        </xdr:cNvSpPr>
      </xdr:nvSpPr>
      <xdr:spPr bwMode="auto">
        <a:xfrm>
          <a:off x="4181475" y="6572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7</xdr:row>
      <xdr:rowOff>0</xdr:rowOff>
    </xdr:from>
    <xdr:to>
      <xdr:col>13</xdr:col>
      <xdr:colOff>9525</xdr:colOff>
      <xdr:row>7</xdr:row>
      <xdr:rowOff>0</xdr:rowOff>
    </xdr:to>
    <xdr:sp macro="" textlink="">
      <xdr:nvSpPr>
        <xdr:cNvPr id="392" name="Line 35">
          <a:extLst>
            <a:ext uri="{FF2B5EF4-FFF2-40B4-BE49-F238E27FC236}">
              <a16:creationId xmlns:a16="http://schemas.microsoft.com/office/drawing/2014/main" id="{00000000-0008-0000-0C00-000088010000}"/>
            </a:ext>
          </a:extLst>
        </xdr:cNvPr>
        <xdr:cNvSpPr>
          <a:spLocks noChangeShapeType="1"/>
        </xdr:cNvSpPr>
      </xdr:nvSpPr>
      <xdr:spPr bwMode="auto">
        <a:xfrm>
          <a:off x="4848225" y="657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7</xdr:row>
      <xdr:rowOff>0</xdr:rowOff>
    </xdr:from>
    <xdr:to>
      <xdr:col>14</xdr:col>
      <xdr:colOff>9525</xdr:colOff>
      <xdr:row>7</xdr:row>
      <xdr:rowOff>0</xdr:rowOff>
    </xdr:to>
    <xdr:sp macro="" textlink="">
      <xdr:nvSpPr>
        <xdr:cNvPr id="393" name="Line 36">
          <a:extLst>
            <a:ext uri="{FF2B5EF4-FFF2-40B4-BE49-F238E27FC236}">
              <a16:creationId xmlns:a16="http://schemas.microsoft.com/office/drawing/2014/main" id="{00000000-0008-0000-0C00-000089010000}"/>
            </a:ext>
          </a:extLst>
        </xdr:cNvPr>
        <xdr:cNvSpPr>
          <a:spLocks noChangeShapeType="1"/>
        </xdr:cNvSpPr>
      </xdr:nvSpPr>
      <xdr:spPr bwMode="auto">
        <a:xfrm>
          <a:off x="5495925" y="657225"/>
          <a:ext cx="6953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13</xdr:row>
      <xdr:rowOff>0</xdr:rowOff>
    </xdr:from>
    <xdr:to>
      <xdr:col>6</xdr:col>
      <xdr:colOff>9525</xdr:colOff>
      <xdr:row>13</xdr:row>
      <xdr:rowOff>0</xdr:rowOff>
    </xdr:to>
    <xdr:sp macro="" textlink="">
      <xdr:nvSpPr>
        <xdr:cNvPr id="394" name="Line 37">
          <a:extLst>
            <a:ext uri="{FF2B5EF4-FFF2-40B4-BE49-F238E27FC236}">
              <a16:creationId xmlns:a16="http://schemas.microsoft.com/office/drawing/2014/main" id="{00000000-0008-0000-0C00-00008A010000}"/>
            </a:ext>
          </a:extLst>
        </xdr:cNvPr>
        <xdr:cNvSpPr>
          <a:spLocks noChangeShapeType="1"/>
        </xdr:cNvSpPr>
      </xdr:nvSpPr>
      <xdr:spPr bwMode="auto">
        <a:xfrm>
          <a:off x="495300" y="1809750"/>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13</xdr:row>
      <xdr:rowOff>0</xdr:rowOff>
    </xdr:from>
    <xdr:to>
      <xdr:col>7</xdr:col>
      <xdr:colOff>9525</xdr:colOff>
      <xdr:row>13</xdr:row>
      <xdr:rowOff>0</xdr:rowOff>
    </xdr:to>
    <xdr:sp macro="" textlink="">
      <xdr:nvSpPr>
        <xdr:cNvPr id="395" name="Line 38">
          <a:extLst>
            <a:ext uri="{FF2B5EF4-FFF2-40B4-BE49-F238E27FC236}">
              <a16:creationId xmlns:a16="http://schemas.microsoft.com/office/drawing/2014/main" id="{00000000-0008-0000-0C00-00008B010000}"/>
            </a:ext>
          </a:extLst>
        </xdr:cNvPr>
        <xdr:cNvSpPr>
          <a:spLocks noChangeShapeType="1"/>
        </xdr:cNvSpPr>
      </xdr:nvSpPr>
      <xdr:spPr bwMode="auto">
        <a:xfrm>
          <a:off x="1066800"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13</xdr:row>
      <xdr:rowOff>0</xdr:rowOff>
    </xdr:from>
    <xdr:to>
      <xdr:col>8</xdr:col>
      <xdr:colOff>9525</xdr:colOff>
      <xdr:row>13</xdr:row>
      <xdr:rowOff>0</xdr:rowOff>
    </xdr:to>
    <xdr:sp macro="" textlink="">
      <xdr:nvSpPr>
        <xdr:cNvPr id="396" name="Line 39">
          <a:extLst>
            <a:ext uri="{FF2B5EF4-FFF2-40B4-BE49-F238E27FC236}">
              <a16:creationId xmlns:a16="http://schemas.microsoft.com/office/drawing/2014/main" id="{00000000-0008-0000-0C00-00008C010000}"/>
            </a:ext>
          </a:extLst>
        </xdr:cNvPr>
        <xdr:cNvSpPr>
          <a:spLocks noChangeShapeType="1"/>
        </xdr:cNvSpPr>
      </xdr:nvSpPr>
      <xdr:spPr bwMode="auto">
        <a:xfrm>
          <a:off x="1714500"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13</xdr:row>
      <xdr:rowOff>0</xdr:rowOff>
    </xdr:from>
    <xdr:to>
      <xdr:col>9</xdr:col>
      <xdr:colOff>9525</xdr:colOff>
      <xdr:row>13</xdr:row>
      <xdr:rowOff>0</xdr:rowOff>
    </xdr:to>
    <xdr:sp macro="" textlink="">
      <xdr:nvSpPr>
        <xdr:cNvPr id="397" name="Line 40">
          <a:extLst>
            <a:ext uri="{FF2B5EF4-FFF2-40B4-BE49-F238E27FC236}">
              <a16:creationId xmlns:a16="http://schemas.microsoft.com/office/drawing/2014/main" id="{00000000-0008-0000-0C00-00008D010000}"/>
            </a:ext>
          </a:extLst>
        </xdr:cNvPr>
        <xdr:cNvSpPr>
          <a:spLocks noChangeShapeType="1"/>
        </xdr:cNvSpPr>
      </xdr:nvSpPr>
      <xdr:spPr bwMode="auto">
        <a:xfrm>
          <a:off x="2381250"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13</xdr:row>
      <xdr:rowOff>0</xdr:rowOff>
    </xdr:from>
    <xdr:to>
      <xdr:col>10</xdr:col>
      <xdr:colOff>9525</xdr:colOff>
      <xdr:row>13</xdr:row>
      <xdr:rowOff>0</xdr:rowOff>
    </xdr:to>
    <xdr:sp macro="" textlink="">
      <xdr:nvSpPr>
        <xdr:cNvPr id="399" name="Line 41">
          <a:extLst>
            <a:ext uri="{FF2B5EF4-FFF2-40B4-BE49-F238E27FC236}">
              <a16:creationId xmlns:a16="http://schemas.microsoft.com/office/drawing/2014/main" id="{00000000-0008-0000-0C00-00008F010000}"/>
            </a:ext>
          </a:extLst>
        </xdr:cNvPr>
        <xdr:cNvSpPr>
          <a:spLocks noChangeShapeType="1"/>
        </xdr:cNvSpPr>
      </xdr:nvSpPr>
      <xdr:spPr bwMode="auto">
        <a:xfrm>
          <a:off x="3028950" y="1809750"/>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13</xdr:row>
      <xdr:rowOff>0</xdr:rowOff>
    </xdr:from>
    <xdr:to>
      <xdr:col>11</xdr:col>
      <xdr:colOff>9525</xdr:colOff>
      <xdr:row>13</xdr:row>
      <xdr:rowOff>0</xdr:rowOff>
    </xdr:to>
    <xdr:sp macro="" textlink="">
      <xdr:nvSpPr>
        <xdr:cNvPr id="400" name="Line 42">
          <a:extLst>
            <a:ext uri="{FF2B5EF4-FFF2-40B4-BE49-F238E27FC236}">
              <a16:creationId xmlns:a16="http://schemas.microsoft.com/office/drawing/2014/main" id="{00000000-0008-0000-0C00-000090010000}"/>
            </a:ext>
          </a:extLst>
        </xdr:cNvPr>
        <xdr:cNvSpPr>
          <a:spLocks noChangeShapeType="1"/>
        </xdr:cNvSpPr>
      </xdr:nvSpPr>
      <xdr:spPr bwMode="auto">
        <a:xfrm>
          <a:off x="3533775"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13</xdr:row>
      <xdr:rowOff>0</xdr:rowOff>
    </xdr:from>
    <xdr:to>
      <xdr:col>12</xdr:col>
      <xdr:colOff>9525</xdr:colOff>
      <xdr:row>13</xdr:row>
      <xdr:rowOff>0</xdr:rowOff>
    </xdr:to>
    <xdr:sp macro="" textlink="">
      <xdr:nvSpPr>
        <xdr:cNvPr id="401" name="Line 43">
          <a:extLst>
            <a:ext uri="{FF2B5EF4-FFF2-40B4-BE49-F238E27FC236}">
              <a16:creationId xmlns:a16="http://schemas.microsoft.com/office/drawing/2014/main" id="{00000000-0008-0000-0C00-000091010000}"/>
            </a:ext>
          </a:extLst>
        </xdr:cNvPr>
        <xdr:cNvSpPr>
          <a:spLocks noChangeShapeType="1"/>
        </xdr:cNvSpPr>
      </xdr:nvSpPr>
      <xdr:spPr bwMode="auto">
        <a:xfrm>
          <a:off x="4181475" y="1809750"/>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13</xdr:row>
      <xdr:rowOff>0</xdr:rowOff>
    </xdr:from>
    <xdr:to>
      <xdr:col>13</xdr:col>
      <xdr:colOff>9525</xdr:colOff>
      <xdr:row>13</xdr:row>
      <xdr:rowOff>0</xdr:rowOff>
    </xdr:to>
    <xdr:sp macro="" textlink="">
      <xdr:nvSpPr>
        <xdr:cNvPr id="402" name="Line 44">
          <a:extLst>
            <a:ext uri="{FF2B5EF4-FFF2-40B4-BE49-F238E27FC236}">
              <a16:creationId xmlns:a16="http://schemas.microsoft.com/office/drawing/2014/main" id="{00000000-0008-0000-0C00-000092010000}"/>
            </a:ext>
          </a:extLst>
        </xdr:cNvPr>
        <xdr:cNvSpPr>
          <a:spLocks noChangeShapeType="1"/>
        </xdr:cNvSpPr>
      </xdr:nvSpPr>
      <xdr:spPr bwMode="auto">
        <a:xfrm>
          <a:off x="4848225" y="1809750"/>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13</xdr:row>
      <xdr:rowOff>0</xdr:rowOff>
    </xdr:from>
    <xdr:to>
      <xdr:col>14</xdr:col>
      <xdr:colOff>9525</xdr:colOff>
      <xdr:row>13</xdr:row>
      <xdr:rowOff>0</xdr:rowOff>
    </xdr:to>
    <xdr:sp macro="" textlink="">
      <xdr:nvSpPr>
        <xdr:cNvPr id="403" name="Line 45">
          <a:extLst>
            <a:ext uri="{FF2B5EF4-FFF2-40B4-BE49-F238E27FC236}">
              <a16:creationId xmlns:a16="http://schemas.microsoft.com/office/drawing/2014/main" id="{00000000-0008-0000-0C00-000093010000}"/>
            </a:ext>
          </a:extLst>
        </xdr:cNvPr>
        <xdr:cNvSpPr>
          <a:spLocks noChangeShapeType="1"/>
        </xdr:cNvSpPr>
      </xdr:nvSpPr>
      <xdr:spPr bwMode="auto">
        <a:xfrm>
          <a:off x="5495925" y="1809750"/>
          <a:ext cx="6953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23</xdr:row>
      <xdr:rowOff>0</xdr:rowOff>
    </xdr:from>
    <xdr:to>
      <xdr:col>6</xdr:col>
      <xdr:colOff>9525</xdr:colOff>
      <xdr:row>23</xdr:row>
      <xdr:rowOff>0</xdr:rowOff>
    </xdr:to>
    <xdr:sp macro="" textlink="">
      <xdr:nvSpPr>
        <xdr:cNvPr id="404" name="Line 46">
          <a:extLst>
            <a:ext uri="{FF2B5EF4-FFF2-40B4-BE49-F238E27FC236}">
              <a16:creationId xmlns:a16="http://schemas.microsoft.com/office/drawing/2014/main" id="{00000000-0008-0000-0C00-000094010000}"/>
            </a:ext>
          </a:extLst>
        </xdr:cNvPr>
        <xdr:cNvSpPr>
          <a:spLocks noChangeShapeType="1"/>
        </xdr:cNvSpPr>
      </xdr:nvSpPr>
      <xdr:spPr bwMode="auto">
        <a:xfrm>
          <a:off x="495300" y="28289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23</xdr:row>
      <xdr:rowOff>0</xdr:rowOff>
    </xdr:from>
    <xdr:to>
      <xdr:col>7</xdr:col>
      <xdr:colOff>9525</xdr:colOff>
      <xdr:row>23</xdr:row>
      <xdr:rowOff>0</xdr:rowOff>
    </xdr:to>
    <xdr:sp macro="" textlink="">
      <xdr:nvSpPr>
        <xdr:cNvPr id="406" name="Line 47">
          <a:extLst>
            <a:ext uri="{FF2B5EF4-FFF2-40B4-BE49-F238E27FC236}">
              <a16:creationId xmlns:a16="http://schemas.microsoft.com/office/drawing/2014/main" id="{00000000-0008-0000-0C00-000096010000}"/>
            </a:ext>
          </a:extLst>
        </xdr:cNvPr>
        <xdr:cNvSpPr>
          <a:spLocks noChangeShapeType="1"/>
        </xdr:cNvSpPr>
      </xdr:nvSpPr>
      <xdr:spPr bwMode="auto">
        <a:xfrm>
          <a:off x="1066800"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23</xdr:row>
      <xdr:rowOff>0</xdr:rowOff>
    </xdr:from>
    <xdr:to>
      <xdr:col>8</xdr:col>
      <xdr:colOff>9525</xdr:colOff>
      <xdr:row>23</xdr:row>
      <xdr:rowOff>0</xdr:rowOff>
    </xdr:to>
    <xdr:sp macro="" textlink="">
      <xdr:nvSpPr>
        <xdr:cNvPr id="407" name="Line 48">
          <a:extLst>
            <a:ext uri="{FF2B5EF4-FFF2-40B4-BE49-F238E27FC236}">
              <a16:creationId xmlns:a16="http://schemas.microsoft.com/office/drawing/2014/main" id="{00000000-0008-0000-0C00-000097010000}"/>
            </a:ext>
          </a:extLst>
        </xdr:cNvPr>
        <xdr:cNvSpPr>
          <a:spLocks noChangeShapeType="1"/>
        </xdr:cNvSpPr>
      </xdr:nvSpPr>
      <xdr:spPr bwMode="auto">
        <a:xfrm>
          <a:off x="1714500" y="2828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23</xdr:row>
      <xdr:rowOff>0</xdr:rowOff>
    </xdr:from>
    <xdr:to>
      <xdr:col>9</xdr:col>
      <xdr:colOff>9525</xdr:colOff>
      <xdr:row>23</xdr:row>
      <xdr:rowOff>0</xdr:rowOff>
    </xdr:to>
    <xdr:sp macro="" textlink="">
      <xdr:nvSpPr>
        <xdr:cNvPr id="408" name="Line 49">
          <a:extLst>
            <a:ext uri="{FF2B5EF4-FFF2-40B4-BE49-F238E27FC236}">
              <a16:creationId xmlns:a16="http://schemas.microsoft.com/office/drawing/2014/main" id="{00000000-0008-0000-0C00-000098010000}"/>
            </a:ext>
          </a:extLst>
        </xdr:cNvPr>
        <xdr:cNvSpPr>
          <a:spLocks noChangeShapeType="1"/>
        </xdr:cNvSpPr>
      </xdr:nvSpPr>
      <xdr:spPr bwMode="auto">
        <a:xfrm>
          <a:off x="2381250"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23</xdr:row>
      <xdr:rowOff>0</xdr:rowOff>
    </xdr:from>
    <xdr:to>
      <xdr:col>10</xdr:col>
      <xdr:colOff>9525</xdr:colOff>
      <xdr:row>23</xdr:row>
      <xdr:rowOff>0</xdr:rowOff>
    </xdr:to>
    <xdr:sp macro="" textlink="">
      <xdr:nvSpPr>
        <xdr:cNvPr id="409" name="Line 50">
          <a:extLst>
            <a:ext uri="{FF2B5EF4-FFF2-40B4-BE49-F238E27FC236}">
              <a16:creationId xmlns:a16="http://schemas.microsoft.com/office/drawing/2014/main" id="{00000000-0008-0000-0C00-000099010000}"/>
            </a:ext>
          </a:extLst>
        </xdr:cNvPr>
        <xdr:cNvSpPr>
          <a:spLocks noChangeShapeType="1"/>
        </xdr:cNvSpPr>
      </xdr:nvSpPr>
      <xdr:spPr bwMode="auto">
        <a:xfrm>
          <a:off x="3028950" y="28289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23</xdr:row>
      <xdr:rowOff>0</xdr:rowOff>
    </xdr:from>
    <xdr:to>
      <xdr:col>11</xdr:col>
      <xdr:colOff>9525</xdr:colOff>
      <xdr:row>23</xdr:row>
      <xdr:rowOff>0</xdr:rowOff>
    </xdr:to>
    <xdr:sp macro="" textlink="">
      <xdr:nvSpPr>
        <xdr:cNvPr id="410" name="Line 51">
          <a:extLst>
            <a:ext uri="{FF2B5EF4-FFF2-40B4-BE49-F238E27FC236}">
              <a16:creationId xmlns:a16="http://schemas.microsoft.com/office/drawing/2014/main" id="{00000000-0008-0000-0C00-00009A010000}"/>
            </a:ext>
          </a:extLst>
        </xdr:cNvPr>
        <xdr:cNvSpPr>
          <a:spLocks noChangeShapeType="1"/>
        </xdr:cNvSpPr>
      </xdr:nvSpPr>
      <xdr:spPr bwMode="auto">
        <a:xfrm>
          <a:off x="3533775"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23</xdr:row>
      <xdr:rowOff>0</xdr:rowOff>
    </xdr:from>
    <xdr:to>
      <xdr:col>12</xdr:col>
      <xdr:colOff>9525</xdr:colOff>
      <xdr:row>23</xdr:row>
      <xdr:rowOff>0</xdr:rowOff>
    </xdr:to>
    <xdr:sp macro="" textlink="">
      <xdr:nvSpPr>
        <xdr:cNvPr id="411" name="Line 52">
          <a:extLst>
            <a:ext uri="{FF2B5EF4-FFF2-40B4-BE49-F238E27FC236}">
              <a16:creationId xmlns:a16="http://schemas.microsoft.com/office/drawing/2014/main" id="{00000000-0008-0000-0C00-00009B010000}"/>
            </a:ext>
          </a:extLst>
        </xdr:cNvPr>
        <xdr:cNvSpPr>
          <a:spLocks noChangeShapeType="1"/>
        </xdr:cNvSpPr>
      </xdr:nvSpPr>
      <xdr:spPr bwMode="auto">
        <a:xfrm>
          <a:off x="4181475" y="2828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23</xdr:row>
      <xdr:rowOff>0</xdr:rowOff>
    </xdr:from>
    <xdr:to>
      <xdr:col>13</xdr:col>
      <xdr:colOff>9525</xdr:colOff>
      <xdr:row>23</xdr:row>
      <xdr:rowOff>0</xdr:rowOff>
    </xdr:to>
    <xdr:sp macro="" textlink="">
      <xdr:nvSpPr>
        <xdr:cNvPr id="413" name="Line 53">
          <a:extLst>
            <a:ext uri="{FF2B5EF4-FFF2-40B4-BE49-F238E27FC236}">
              <a16:creationId xmlns:a16="http://schemas.microsoft.com/office/drawing/2014/main" id="{00000000-0008-0000-0C00-00009D010000}"/>
            </a:ext>
          </a:extLst>
        </xdr:cNvPr>
        <xdr:cNvSpPr>
          <a:spLocks noChangeShapeType="1"/>
        </xdr:cNvSpPr>
      </xdr:nvSpPr>
      <xdr:spPr bwMode="auto">
        <a:xfrm>
          <a:off x="4848225" y="2828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23</xdr:row>
      <xdr:rowOff>0</xdr:rowOff>
    </xdr:from>
    <xdr:to>
      <xdr:col>14</xdr:col>
      <xdr:colOff>9525</xdr:colOff>
      <xdr:row>23</xdr:row>
      <xdr:rowOff>0</xdr:rowOff>
    </xdr:to>
    <xdr:sp macro="" textlink="">
      <xdr:nvSpPr>
        <xdr:cNvPr id="414" name="Line 54">
          <a:extLst>
            <a:ext uri="{FF2B5EF4-FFF2-40B4-BE49-F238E27FC236}">
              <a16:creationId xmlns:a16="http://schemas.microsoft.com/office/drawing/2014/main" id="{00000000-0008-0000-0C00-00009E010000}"/>
            </a:ext>
          </a:extLst>
        </xdr:cNvPr>
        <xdr:cNvSpPr>
          <a:spLocks noChangeShapeType="1"/>
        </xdr:cNvSpPr>
      </xdr:nvSpPr>
      <xdr:spPr bwMode="auto">
        <a:xfrm>
          <a:off x="5495925" y="28289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28</xdr:row>
      <xdr:rowOff>0</xdr:rowOff>
    </xdr:from>
    <xdr:to>
      <xdr:col>6</xdr:col>
      <xdr:colOff>9525</xdr:colOff>
      <xdr:row>28</xdr:row>
      <xdr:rowOff>0</xdr:rowOff>
    </xdr:to>
    <xdr:sp macro="" textlink="">
      <xdr:nvSpPr>
        <xdr:cNvPr id="415" name="Line 55">
          <a:extLst>
            <a:ext uri="{FF2B5EF4-FFF2-40B4-BE49-F238E27FC236}">
              <a16:creationId xmlns:a16="http://schemas.microsoft.com/office/drawing/2014/main" id="{00000000-0008-0000-0C00-00009F010000}"/>
            </a:ext>
          </a:extLst>
        </xdr:cNvPr>
        <xdr:cNvSpPr>
          <a:spLocks noChangeShapeType="1"/>
        </xdr:cNvSpPr>
      </xdr:nvSpPr>
      <xdr:spPr bwMode="auto">
        <a:xfrm>
          <a:off x="495300" y="34956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28</xdr:row>
      <xdr:rowOff>0</xdr:rowOff>
    </xdr:from>
    <xdr:to>
      <xdr:col>7</xdr:col>
      <xdr:colOff>9525</xdr:colOff>
      <xdr:row>28</xdr:row>
      <xdr:rowOff>0</xdr:rowOff>
    </xdr:to>
    <xdr:sp macro="" textlink="">
      <xdr:nvSpPr>
        <xdr:cNvPr id="416" name="Line 56">
          <a:extLst>
            <a:ext uri="{FF2B5EF4-FFF2-40B4-BE49-F238E27FC236}">
              <a16:creationId xmlns:a16="http://schemas.microsoft.com/office/drawing/2014/main" id="{00000000-0008-0000-0C00-0000A0010000}"/>
            </a:ext>
          </a:extLst>
        </xdr:cNvPr>
        <xdr:cNvSpPr>
          <a:spLocks noChangeShapeType="1"/>
        </xdr:cNvSpPr>
      </xdr:nvSpPr>
      <xdr:spPr bwMode="auto">
        <a:xfrm>
          <a:off x="1066800"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28</xdr:row>
      <xdr:rowOff>0</xdr:rowOff>
    </xdr:from>
    <xdr:to>
      <xdr:col>8</xdr:col>
      <xdr:colOff>9525</xdr:colOff>
      <xdr:row>28</xdr:row>
      <xdr:rowOff>0</xdr:rowOff>
    </xdr:to>
    <xdr:sp macro="" textlink="">
      <xdr:nvSpPr>
        <xdr:cNvPr id="417" name="Line 57">
          <a:extLst>
            <a:ext uri="{FF2B5EF4-FFF2-40B4-BE49-F238E27FC236}">
              <a16:creationId xmlns:a16="http://schemas.microsoft.com/office/drawing/2014/main" id="{00000000-0008-0000-0C00-0000A1010000}"/>
            </a:ext>
          </a:extLst>
        </xdr:cNvPr>
        <xdr:cNvSpPr>
          <a:spLocks noChangeShapeType="1"/>
        </xdr:cNvSpPr>
      </xdr:nvSpPr>
      <xdr:spPr bwMode="auto">
        <a:xfrm>
          <a:off x="1714500" y="3495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28</xdr:row>
      <xdr:rowOff>0</xdr:rowOff>
    </xdr:from>
    <xdr:to>
      <xdr:col>9</xdr:col>
      <xdr:colOff>9525</xdr:colOff>
      <xdr:row>28</xdr:row>
      <xdr:rowOff>0</xdr:rowOff>
    </xdr:to>
    <xdr:sp macro="" textlink="">
      <xdr:nvSpPr>
        <xdr:cNvPr id="418" name="Line 58">
          <a:extLst>
            <a:ext uri="{FF2B5EF4-FFF2-40B4-BE49-F238E27FC236}">
              <a16:creationId xmlns:a16="http://schemas.microsoft.com/office/drawing/2014/main" id="{00000000-0008-0000-0C00-0000A2010000}"/>
            </a:ext>
          </a:extLst>
        </xdr:cNvPr>
        <xdr:cNvSpPr>
          <a:spLocks noChangeShapeType="1"/>
        </xdr:cNvSpPr>
      </xdr:nvSpPr>
      <xdr:spPr bwMode="auto">
        <a:xfrm>
          <a:off x="2381250"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28</xdr:row>
      <xdr:rowOff>0</xdr:rowOff>
    </xdr:from>
    <xdr:to>
      <xdr:col>10</xdr:col>
      <xdr:colOff>9525</xdr:colOff>
      <xdr:row>28</xdr:row>
      <xdr:rowOff>0</xdr:rowOff>
    </xdr:to>
    <xdr:sp macro="" textlink="">
      <xdr:nvSpPr>
        <xdr:cNvPr id="420" name="Line 59">
          <a:extLst>
            <a:ext uri="{FF2B5EF4-FFF2-40B4-BE49-F238E27FC236}">
              <a16:creationId xmlns:a16="http://schemas.microsoft.com/office/drawing/2014/main" id="{00000000-0008-0000-0C00-0000A4010000}"/>
            </a:ext>
          </a:extLst>
        </xdr:cNvPr>
        <xdr:cNvSpPr>
          <a:spLocks noChangeShapeType="1"/>
        </xdr:cNvSpPr>
      </xdr:nvSpPr>
      <xdr:spPr bwMode="auto">
        <a:xfrm>
          <a:off x="3028950" y="34956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28</xdr:row>
      <xdr:rowOff>0</xdr:rowOff>
    </xdr:from>
    <xdr:to>
      <xdr:col>11</xdr:col>
      <xdr:colOff>9525</xdr:colOff>
      <xdr:row>28</xdr:row>
      <xdr:rowOff>0</xdr:rowOff>
    </xdr:to>
    <xdr:sp macro="" textlink="">
      <xdr:nvSpPr>
        <xdr:cNvPr id="421" name="Line 60">
          <a:extLst>
            <a:ext uri="{FF2B5EF4-FFF2-40B4-BE49-F238E27FC236}">
              <a16:creationId xmlns:a16="http://schemas.microsoft.com/office/drawing/2014/main" id="{00000000-0008-0000-0C00-0000A5010000}"/>
            </a:ext>
          </a:extLst>
        </xdr:cNvPr>
        <xdr:cNvSpPr>
          <a:spLocks noChangeShapeType="1"/>
        </xdr:cNvSpPr>
      </xdr:nvSpPr>
      <xdr:spPr bwMode="auto">
        <a:xfrm>
          <a:off x="3533775"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28</xdr:row>
      <xdr:rowOff>0</xdr:rowOff>
    </xdr:from>
    <xdr:to>
      <xdr:col>12</xdr:col>
      <xdr:colOff>9525</xdr:colOff>
      <xdr:row>28</xdr:row>
      <xdr:rowOff>0</xdr:rowOff>
    </xdr:to>
    <xdr:sp macro="" textlink="">
      <xdr:nvSpPr>
        <xdr:cNvPr id="422" name="Line 61">
          <a:extLst>
            <a:ext uri="{FF2B5EF4-FFF2-40B4-BE49-F238E27FC236}">
              <a16:creationId xmlns:a16="http://schemas.microsoft.com/office/drawing/2014/main" id="{00000000-0008-0000-0C00-0000A6010000}"/>
            </a:ext>
          </a:extLst>
        </xdr:cNvPr>
        <xdr:cNvSpPr>
          <a:spLocks noChangeShapeType="1"/>
        </xdr:cNvSpPr>
      </xdr:nvSpPr>
      <xdr:spPr bwMode="auto">
        <a:xfrm>
          <a:off x="4181475" y="3495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28</xdr:row>
      <xdr:rowOff>0</xdr:rowOff>
    </xdr:from>
    <xdr:to>
      <xdr:col>13</xdr:col>
      <xdr:colOff>9525</xdr:colOff>
      <xdr:row>28</xdr:row>
      <xdr:rowOff>0</xdr:rowOff>
    </xdr:to>
    <xdr:sp macro="" textlink="">
      <xdr:nvSpPr>
        <xdr:cNvPr id="423" name="Line 62">
          <a:extLst>
            <a:ext uri="{FF2B5EF4-FFF2-40B4-BE49-F238E27FC236}">
              <a16:creationId xmlns:a16="http://schemas.microsoft.com/office/drawing/2014/main" id="{00000000-0008-0000-0C00-0000A7010000}"/>
            </a:ext>
          </a:extLst>
        </xdr:cNvPr>
        <xdr:cNvSpPr>
          <a:spLocks noChangeShapeType="1"/>
        </xdr:cNvSpPr>
      </xdr:nvSpPr>
      <xdr:spPr bwMode="auto">
        <a:xfrm>
          <a:off x="4848225" y="3495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28</xdr:row>
      <xdr:rowOff>0</xdr:rowOff>
    </xdr:from>
    <xdr:to>
      <xdr:col>14</xdr:col>
      <xdr:colOff>9525</xdr:colOff>
      <xdr:row>28</xdr:row>
      <xdr:rowOff>0</xdr:rowOff>
    </xdr:to>
    <xdr:sp macro="" textlink="">
      <xdr:nvSpPr>
        <xdr:cNvPr id="424" name="Line 63">
          <a:extLst>
            <a:ext uri="{FF2B5EF4-FFF2-40B4-BE49-F238E27FC236}">
              <a16:creationId xmlns:a16="http://schemas.microsoft.com/office/drawing/2014/main" id="{00000000-0008-0000-0C00-0000A8010000}"/>
            </a:ext>
          </a:extLst>
        </xdr:cNvPr>
        <xdr:cNvSpPr>
          <a:spLocks noChangeShapeType="1"/>
        </xdr:cNvSpPr>
      </xdr:nvSpPr>
      <xdr:spPr bwMode="auto">
        <a:xfrm>
          <a:off x="5495925" y="34956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33</xdr:row>
      <xdr:rowOff>0</xdr:rowOff>
    </xdr:from>
    <xdr:to>
      <xdr:col>6</xdr:col>
      <xdr:colOff>9525</xdr:colOff>
      <xdr:row>33</xdr:row>
      <xdr:rowOff>0</xdr:rowOff>
    </xdr:to>
    <xdr:sp macro="" textlink="">
      <xdr:nvSpPr>
        <xdr:cNvPr id="425" name="Line 64">
          <a:extLst>
            <a:ext uri="{FF2B5EF4-FFF2-40B4-BE49-F238E27FC236}">
              <a16:creationId xmlns:a16="http://schemas.microsoft.com/office/drawing/2014/main" id="{00000000-0008-0000-0C00-0000A9010000}"/>
            </a:ext>
          </a:extLst>
        </xdr:cNvPr>
        <xdr:cNvSpPr>
          <a:spLocks noChangeShapeType="1"/>
        </xdr:cNvSpPr>
      </xdr:nvSpPr>
      <xdr:spPr bwMode="auto">
        <a:xfrm>
          <a:off x="495300" y="41624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33</xdr:row>
      <xdr:rowOff>0</xdr:rowOff>
    </xdr:from>
    <xdr:to>
      <xdr:col>7</xdr:col>
      <xdr:colOff>9525</xdr:colOff>
      <xdr:row>33</xdr:row>
      <xdr:rowOff>0</xdr:rowOff>
    </xdr:to>
    <xdr:sp macro="" textlink="">
      <xdr:nvSpPr>
        <xdr:cNvPr id="427" name="Line 65">
          <a:extLst>
            <a:ext uri="{FF2B5EF4-FFF2-40B4-BE49-F238E27FC236}">
              <a16:creationId xmlns:a16="http://schemas.microsoft.com/office/drawing/2014/main" id="{00000000-0008-0000-0C00-0000AB010000}"/>
            </a:ext>
          </a:extLst>
        </xdr:cNvPr>
        <xdr:cNvSpPr>
          <a:spLocks noChangeShapeType="1"/>
        </xdr:cNvSpPr>
      </xdr:nvSpPr>
      <xdr:spPr bwMode="auto">
        <a:xfrm>
          <a:off x="1066800"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33</xdr:row>
      <xdr:rowOff>0</xdr:rowOff>
    </xdr:from>
    <xdr:to>
      <xdr:col>8</xdr:col>
      <xdr:colOff>9525</xdr:colOff>
      <xdr:row>33</xdr:row>
      <xdr:rowOff>0</xdr:rowOff>
    </xdr:to>
    <xdr:sp macro="" textlink="">
      <xdr:nvSpPr>
        <xdr:cNvPr id="428" name="Line 66">
          <a:extLst>
            <a:ext uri="{FF2B5EF4-FFF2-40B4-BE49-F238E27FC236}">
              <a16:creationId xmlns:a16="http://schemas.microsoft.com/office/drawing/2014/main" id="{00000000-0008-0000-0C00-0000AC010000}"/>
            </a:ext>
          </a:extLst>
        </xdr:cNvPr>
        <xdr:cNvSpPr>
          <a:spLocks noChangeShapeType="1"/>
        </xdr:cNvSpPr>
      </xdr:nvSpPr>
      <xdr:spPr bwMode="auto">
        <a:xfrm>
          <a:off x="1714500" y="4162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33</xdr:row>
      <xdr:rowOff>0</xdr:rowOff>
    </xdr:from>
    <xdr:to>
      <xdr:col>9</xdr:col>
      <xdr:colOff>9525</xdr:colOff>
      <xdr:row>33</xdr:row>
      <xdr:rowOff>0</xdr:rowOff>
    </xdr:to>
    <xdr:sp macro="" textlink="">
      <xdr:nvSpPr>
        <xdr:cNvPr id="429" name="Line 67">
          <a:extLst>
            <a:ext uri="{FF2B5EF4-FFF2-40B4-BE49-F238E27FC236}">
              <a16:creationId xmlns:a16="http://schemas.microsoft.com/office/drawing/2014/main" id="{00000000-0008-0000-0C00-0000AD010000}"/>
            </a:ext>
          </a:extLst>
        </xdr:cNvPr>
        <xdr:cNvSpPr>
          <a:spLocks noChangeShapeType="1"/>
        </xdr:cNvSpPr>
      </xdr:nvSpPr>
      <xdr:spPr bwMode="auto">
        <a:xfrm>
          <a:off x="2381250"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33</xdr:row>
      <xdr:rowOff>0</xdr:rowOff>
    </xdr:from>
    <xdr:to>
      <xdr:col>10</xdr:col>
      <xdr:colOff>9525</xdr:colOff>
      <xdr:row>33</xdr:row>
      <xdr:rowOff>0</xdr:rowOff>
    </xdr:to>
    <xdr:sp macro="" textlink="">
      <xdr:nvSpPr>
        <xdr:cNvPr id="430" name="Line 68">
          <a:extLst>
            <a:ext uri="{FF2B5EF4-FFF2-40B4-BE49-F238E27FC236}">
              <a16:creationId xmlns:a16="http://schemas.microsoft.com/office/drawing/2014/main" id="{00000000-0008-0000-0C00-0000AE010000}"/>
            </a:ext>
          </a:extLst>
        </xdr:cNvPr>
        <xdr:cNvSpPr>
          <a:spLocks noChangeShapeType="1"/>
        </xdr:cNvSpPr>
      </xdr:nvSpPr>
      <xdr:spPr bwMode="auto">
        <a:xfrm>
          <a:off x="3028950" y="41624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33</xdr:row>
      <xdr:rowOff>0</xdr:rowOff>
    </xdr:from>
    <xdr:to>
      <xdr:col>11</xdr:col>
      <xdr:colOff>9525</xdr:colOff>
      <xdr:row>33</xdr:row>
      <xdr:rowOff>0</xdr:rowOff>
    </xdr:to>
    <xdr:sp macro="" textlink="">
      <xdr:nvSpPr>
        <xdr:cNvPr id="431" name="Line 69">
          <a:extLst>
            <a:ext uri="{FF2B5EF4-FFF2-40B4-BE49-F238E27FC236}">
              <a16:creationId xmlns:a16="http://schemas.microsoft.com/office/drawing/2014/main" id="{00000000-0008-0000-0C00-0000AF010000}"/>
            </a:ext>
          </a:extLst>
        </xdr:cNvPr>
        <xdr:cNvSpPr>
          <a:spLocks noChangeShapeType="1"/>
        </xdr:cNvSpPr>
      </xdr:nvSpPr>
      <xdr:spPr bwMode="auto">
        <a:xfrm>
          <a:off x="3533775"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33</xdr:row>
      <xdr:rowOff>0</xdr:rowOff>
    </xdr:from>
    <xdr:to>
      <xdr:col>12</xdr:col>
      <xdr:colOff>9525</xdr:colOff>
      <xdr:row>33</xdr:row>
      <xdr:rowOff>0</xdr:rowOff>
    </xdr:to>
    <xdr:sp macro="" textlink="">
      <xdr:nvSpPr>
        <xdr:cNvPr id="432" name="Line 70">
          <a:extLst>
            <a:ext uri="{FF2B5EF4-FFF2-40B4-BE49-F238E27FC236}">
              <a16:creationId xmlns:a16="http://schemas.microsoft.com/office/drawing/2014/main" id="{00000000-0008-0000-0C00-0000B0010000}"/>
            </a:ext>
          </a:extLst>
        </xdr:cNvPr>
        <xdr:cNvSpPr>
          <a:spLocks noChangeShapeType="1"/>
        </xdr:cNvSpPr>
      </xdr:nvSpPr>
      <xdr:spPr bwMode="auto">
        <a:xfrm>
          <a:off x="4181475" y="4162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33</xdr:row>
      <xdr:rowOff>0</xdr:rowOff>
    </xdr:from>
    <xdr:to>
      <xdr:col>13</xdr:col>
      <xdr:colOff>9525</xdr:colOff>
      <xdr:row>33</xdr:row>
      <xdr:rowOff>0</xdr:rowOff>
    </xdr:to>
    <xdr:sp macro="" textlink="">
      <xdr:nvSpPr>
        <xdr:cNvPr id="434" name="Line 71">
          <a:extLst>
            <a:ext uri="{FF2B5EF4-FFF2-40B4-BE49-F238E27FC236}">
              <a16:creationId xmlns:a16="http://schemas.microsoft.com/office/drawing/2014/main" id="{00000000-0008-0000-0C00-0000B2010000}"/>
            </a:ext>
          </a:extLst>
        </xdr:cNvPr>
        <xdr:cNvSpPr>
          <a:spLocks noChangeShapeType="1"/>
        </xdr:cNvSpPr>
      </xdr:nvSpPr>
      <xdr:spPr bwMode="auto">
        <a:xfrm>
          <a:off x="4848225" y="4162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33</xdr:row>
      <xdr:rowOff>0</xdr:rowOff>
    </xdr:from>
    <xdr:to>
      <xdr:col>14</xdr:col>
      <xdr:colOff>9525</xdr:colOff>
      <xdr:row>33</xdr:row>
      <xdr:rowOff>0</xdr:rowOff>
    </xdr:to>
    <xdr:sp macro="" textlink="">
      <xdr:nvSpPr>
        <xdr:cNvPr id="435" name="Line 72">
          <a:extLst>
            <a:ext uri="{FF2B5EF4-FFF2-40B4-BE49-F238E27FC236}">
              <a16:creationId xmlns:a16="http://schemas.microsoft.com/office/drawing/2014/main" id="{00000000-0008-0000-0C00-0000B3010000}"/>
            </a:ext>
          </a:extLst>
        </xdr:cNvPr>
        <xdr:cNvSpPr>
          <a:spLocks noChangeShapeType="1"/>
        </xdr:cNvSpPr>
      </xdr:nvSpPr>
      <xdr:spPr bwMode="auto">
        <a:xfrm>
          <a:off x="5495925" y="41624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38</xdr:row>
      <xdr:rowOff>0</xdr:rowOff>
    </xdr:from>
    <xdr:to>
      <xdr:col>6</xdr:col>
      <xdr:colOff>9525</xdr:colOff>
      <xdr:row>38</xdr:row>
      <xdr:rowOff>0</xdr:rowOff>
    </xdr:to>
    <xdr:sp macro="" textlink="">
      <xdr:nvSpPr>
        <xdr:cNvPr id="436" name="Line 73">
          <a:extLst>
            <a:ext uri="{FF2B5EF4-FFF2-40B4-BE49-F238E27FC236}">
              <a16:creationId xmlns:a16="http://schemas.microsoft.com/office/drawing/2014/main" id="{00000000-0008-0000-0C00-0000B4010000}"/>
            </a:ext>
          </a:extLst>
        </xdr:cNvPr>
        <xdr:cNvSpPr>
          <a:spLocks noChangeShapeType="1"/>
        </xdr:cNvSpPr>
      </xdr:nvSpPr>
      <xdr:spPr bwMode="auto">
        <a:xfrm>
          <a:off x="495300" y="48291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38</xdr:row>
      <xdr:rowOff>0</xdr:rowOff>
    </xdr:from>
    <xdr:to>
      <xdr:col>7</xdr:col>
      <xdr:colOff>9525</xdr:colOff>
      <xdr:row>38</xdr:row>
      <xdr:rowOff>0</xdr:rowOff>
    </xdr:to>
    <xdr:sp macro="" textlink="">
      <xdr:nvSpPr>
        <xdr:cNvPr id="437" name="Line 74">
          <a:extLst>
            <a:ext uri="{FF2B5EF4-FFF2-40B4-BE49-F238E27FC236}">
              <a16:creationId xmlns:a16="http://schemas.microsoft.com/office/drawing/2014/main" id="{00000000-0008-0000-0C00-0000B5010000}"/>
            </a:ext>
          </a:extLst>
        </xdr:cNvPr>
        <xdr:cNvSpPr>
          <a:spLocks noChangeShapeType="1"/>
        </xdr:cNvSpPr>
      </xdr:nvSpPr>
      <xdr:spPr bwMode="auto">
        <a:xfrm>
          <a:off x="1066800"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38</xdr:row>
      <xdr:rowOff>0</xdr:rowOff>
    </xdr:from>
    <xdr:to>
      <xdr:col>8</xdr:col>
      <xdr:colOff>9525</xdr:colOff>
      <xdr:row>38</xdr:row>
      <xdr:rowOff>0</xdr:rowOff>
    </xdr:to>
    <xdr:sp macro="" textlink="">
      <xdr:nvSpPr>
        <xdr:cNvPr id="438" name="Line 75">
          <a:extLst>
            <a:ext uri="{FF2B5EF4-FFF2-40B4-BE49-F238E27FC236}">
              <a16:creationId xmlns:a16="http://schemas.microsoft.com/office/drawing/2014/main" id="{00000000-0008-0000-0C00-0000B6010000}"/>
            </a:ext>
          </a:extLst>
        </xdr:cNvPr>
        <xdr:cNvSpPr>
          <a:spLocks noChangeShapeType="1"/>
        </xdr:cNvSpPr>
      </xdr:nvSpPr>
      <xdr:spPr bwMode="auto">
        <a:xfrm>
          <a:off x="1714500" y="48291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38</xdr:row>
      <xdr:rowOff>0</xdr:rowOff>
    </xdr:from>
    <xdr:to>
      <xdr:col>9</xdr:col>
      <xdr:colOff>9525</xdr:colOff>
      <xdr:row>38</xdr:row>
      <xdr:rowOff>0</xdr:rowOff>
    </xdr:to>
    <xdr:sp macro="" textlink="">
      <xdr:nvSpPr>
        <xdr:cNvPr id="439" name="Line 76">
          <a:extLst>
            <a:ext uri="{FF2B5EF4-FFF2-40B4-BE49-F238E27FC236}">
              <a16:creationId xmlns:a16="http://schemas.microsoft.com/office/drawing/2014/main" id="{00000000-0008-0000-0C00-0000B7010000}"/>
            </a:ext>
          </a:extLst>
        </xdr:cNvPr>
        <xdr:cNvSpPr>
          <a:spLocks noChangeShapeType="1"/>
        </xdr:cNvSpPr>
      </xdr:nvSpPr>
      <xdr:spPr bwMode="auto">
        <a:xfrm>
          <a:off x="2381250"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38</xdr:row>
      <xdr:rowOff>0</xdr:rowOff>
    </xdr:from>
    <xdr:to>
      <xdr:col>10</xdr:col>
      <xdr:colOff>9525</xdr:colOff>
      <xdr:row>38</xdr:row>
      <xdr:rowOff>0</xdr:rowOff>
    </xdr:to>
    <xdr:sp macro="" textlink="">
      <xdr:nvSpPr>
        <xdr:cNvPr id="441" name="Line 77">
          <a:extLst>
            <a:ext uri="{FF2B5EF4-FFF2-40B4-BE49-F238E27FC236}">
              <a16:creationId xmlns:a16="http://schemas.microsoft.com/office/drawing/2014/main" id="{00000000-0008-0000-0C00-0000B9010000}"/>
            </a:ext>
          </a:extLst>
        </xdr:cNvPr>
        <xdr:cNvSpPr>
          <a:spLocks noChangeShapeType="1"/>
        </xdr:cNvSpPr>
      </xdr:nvSpPr>
      <xdr:spPr bwMode="auto">
        <a:xfrm>
          <a:off x="3028950" y="48291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38</xdr:row>
      <xdr:rowOff>0</xdr:rowOff>
    </xdr:from>
    <xdr:to>
      <xdr:col>11</xdr:col>
      <xdr:colOff>9525</xdr:colOff>
      <xdr:row>38</xdr:row>
      <xdr:rowOff>0</xdr:rowOff>
    </xdr:to>
    <xdr:sp macro="" textlink="">
      <xdr:nvSpPr>
        <xdr:cNvPr id="442" name="Line 78">
          <a:extLst>
            <a:ext uri="{FF2B5EF4-FFF2-40B4-BE49-F238E27FC236}">
              <a16:creationId xmlns:a16="http://schemas.microsoft.com/office/drawing/2014/main" id="{00000000-0008-0000-0C00-0000BA010000}"/>
            </a:ext>
          </a:extLst>
        </xdr:cNvPr>
        <xdr:cNvSpPr>
          <a:spLocks noChangeShapeType="1"/>
        </xdr:cNvSpPr>
      </xdr:nvSpPr>
      <xdr:spPr bwMode="auto">
        <a:xfrm>
          <a:off x="3533775"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38</xdr:row>
      <xdr:rowOff>0</xdr:rowOff>
    </xdr:from>
    <xdr:to>
      <xdr:col>12</xdr:col>
      <xdr:colOff>9525</xdr:colOff>
      <xdr:row>38</xdr:row>
      <xdr:rowOff>0</xdr:rowOff>
    </xdr:to>
    <xdr:sp macro="" textlink="">
      <xdr:nvSpPr>
        <xdr:cNvPr id="443" name="Line 79">
          <a:extLst>
            <a:ext uri="{FF2B5EF4-FFF2-40B4-BE49-F238E27FC236}">
              <a16:creationId xmlns:a16="http://schemas.microsoft.com/office/drawing/2014/main" id="{00000000-0008-0000-0C00-0000BB010000}"/>
            </a:ext>
          </a:extLst>
        </xdr:cNvPr>
        <xdr:cNvSpPr>
          <a:spLocks noChangeShapeType="1"/>
        </xdr:cNvSpPr>
      </xdr:nvSpPr>
      <xdr:spPr bwMode="auto">
        <a:xfrm>
          <a:off x="4181475" y="48291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38</xdr:row>
      <xdr:rowOff>0</xdr:rowOff>
    </xdr:from>
    <xdr:to>
      <xdr:col>13</xdr:col>
      <xdr:colOff>9525</xdr:colOff>
      <xdr:row>38</xdr:row>
      <xdr:rowOff>0</xdr:rowOff>
    </xdr:to>
    <xdr:sp macro="" textlink="">
      <xdr:nvSpPr>
        <xdr:cNvPr id="444" name="Line 80">
          <a:extLst>
            <a:ext uri="{FF2B5EF4-FFF2-40B4-BE49-F238E27FC236}">
              <a16:creationId xmlns:a16="http://schemas.microsoft.com/office/drawing/2014/main" id="{00000000-0008-0000-0C00-0000BC010000}"/>
            </a:ext>
          </a:extLst>
        </xdr:cNvPr>
        <xdr:cNvSpPr>
          <a:spLocks noChangeShapeType="1"/>
        </xdr:cNvSpPr>
      </xdr:nvSpPr>
      <xdr:spPr bwMode="auto">
        <a:xfrm>
          <a:off x="4848225" y="48291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38</xdr:row>
      <xdr:rowOff>0</xdr:rowOff>
    </xdr:from>
    <xdr:to>
      <xdr:col>14</xdr:col>
      <xdr:colOff>9525</xdr:colOff>
      <xdr:row>38</xdr:row>
      <xdr:rowOff>0</xdr:rowOff>
    </xdr:to>
    <xdr:sp macro="" textlink="">
      <xdr:nvSpPr>
        <xdr:cNvPr id="445" name="Line 81">
          <a:extLst>
            <a:ext uri="{FF2B5EF4-FFF2-40B4-BE49-F238E27FC236}">
              <a16:creationId xmlns:a16="http://schemas.microsoft.com/office/drawing/2014/main" id="{00000000-0008-0000-0C00-0000BD010000}"/>
            </a:ext>
          </a:extLst>
        </xdr:cNvPr>
        <xdr:cNvSpPr>
          <a:spLocks noChangeShapeType="1"/>
        </xdr:cNvSpPr>
      </xdr:nvSpPr>
      <xdr:spPr bwMode="auto">
        <a:xfrm>
          <a:off x="5495925" y="48291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43</xdr:row>
      <xdr:rowOff>0</xdr:rowOff>
    </xdr:from>
    <xdr:to>
      <xdr:col>6</xdr:col>
      <xdr:colOff>9525</xdr:colOff>
      <xdr:row>43</xdr:row>
      <xdr:rowOff>0</xdr:rowOff>
    </xdr:to>
    <xdr:sp macro="" textlink="">
      <xdr:nvSpPr>
        <xdr:cNvPr id="446" name="Line 82">
          <a:extLst>
            <a:ext uri="{FF2B5EF4-FFF2-40B4-BE49-F238E27FC236}">
              <a16:creationId xmlns:a16="http://schemas.microsoft.com/office/drawing/2014/main" id="{00000000-0008-0000-0C00-0000BE010000}"/>
            </a:ext>
          </a:extLst>
        </xdr:cNvPr>
        <xdr:cNvSpPr>
          <a:spLocks noChangeShapeType="1"/>
        </xdr:cNvSpPr>
      </xdr:nvSpPr>
      <xdr:spPr bwMode="auto">
        <a:xfrm>
          <a:off x="495300" y="54959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43</xdr:row>
      <xdr:rowOff>0</xdr:rowOff>
    </xdr:from>
    <xdr:to>
      <xdr:col>7</xdr:col>
      <xdr:colOff>9525</xdr:colOff>
      <xdr:row>43</xdr:row>
      <xdr:rowOff>0</xdr:rowOff>
    </xdr:to>
    <xdr:sp macro="" textlink="">
      <xdr:nvSpPr>
        <xdr:cNvPr id="448" name="Line 83">
          <a:extLst>
            <a:ext uri="{FF2B5EF4-FFF2-40B4-BE49-F238E27FC236}">
              <a16:creationId xmlns:a16="http://schemas.microsoft.com/office/drawing/2014/main" id="{00000000-0008-0000-0C00-0000C0010000}"/>
            </a:ext>
          </a:extLst>
        </xdr:cNvPr>
        <xdr:cNvSpPr>
          <a:spLocks noChangeShapeType="1"/>
        </xdr:cNvSpPr>
      </xdr:nvSpPr>
      <xdr:spPr bwMode="auto">
        <a:xfrm>
          <a:off x="1066800"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43</xdr:row>
      <xdr:rowOff>0</xdr:rowOff>
    </xdr:from>
    <xdr:to>
      <xdr:col>8</xdr:col>
      <xdr:colOff>9525</xdr:colOff>
      <xdr:row>43</xdr:row>
      <xdr:rowOff>0</xdr:rowOff>
    </xdr:to>
    <xdr:sp macro="" textlink="">
      <xdr:nvSpPr>
        <xdr:cNvPr id="449" name="Line 84">
          <a:extLst>
            <a:ext uri="{FF2B5EF4-FFF2-40B4-BE49-F238E27FC236}">
              <a16:creationId xmlns:a16="http://schemas.microsoft.com/office/drawing/2014/main" id="{00000000-0008-0000-0C00-0000C1010000}"/>
            </a:ext>
          </a:extLst>
        </xdr:cNvPr>
        <xdr:cNvSpPr>
          <a:spLocks noChangeShapeType="1"/>
        </xdr:cNvSpPr>
      </xdr:nvSpPr>
      <xdr:spPr bwMode="auto">
        <a:xfrm>
          <a:off x="1714500" y="5495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43</xdr:row>
      <xdr:rowOff>0</xdr:rowOff>
    </xdr:from>
    <xdr:to>
      <xdr:col>9</xdr:col>
      <xdr:colOff>9525</xdr:colOff>
      <xdr:row>43</xdr:row>
      <xdr:rowOff>0</xdr:rowOff>
    </xdr:to>
    <xdr:sp macro="" textlink="">
      <xdr:nvSpPr>
        <xdr:cNvPr id="450" name="Line 85">
          <a:extLst>
            <a:ext uri="{FF2B5EF4-FFF2-40B4-BE49-F238E27FC236}">
              <a16:creationId xmlns:a16="http://schemas.microsoft.com/office/drawing/2014/main" id="{00000000-0008-0000-0C00-0000C2010000}"/>
            </a:ext>
          </a:extLst>
        </xdr:cNvPr>
        <xdr:cNvSpPr>
          <a:spLocks noChangeShapeType="1"/>
        </xdr:cNvSpPr>
      </xdr:nvSpPr>
      <xdr:spPr bwMode="auto">
        <a:xfrm>
          <a:off x="2381250"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43</xdr:row>
      <xdr:rowOff>0</xdr:rowOff>
    </xdr:from>
    <xdr:to>
      <xdr:col>10</xdr:col>
      <xdr:colOff>9525</xdr:colOff>
      <xdr:row>43</xdr:row>
      <xdr:rowOff>0</xdr:rowOff>
    </xdr:to>
    <xdr:sp macro="" textlink="">
      <xdr:nvSpPr>
        <xdr:cNvPr id="451" name="Line 86">
          <a:extLst>
            <a:ext uri="{FF2B5EF4-FFF2-40B4-BE49-F238E27FC236}">
              <a16:creationId xmlns:a16="http://schemas.microsoft.com/office/drawing/2014/main" id="{00000000-0008-0000-0C00-0000C3010000}"/>
            </a:ext>
          </a:extLst>
        </xdr:cNvPr>
        <xdr:cNvSpPr>
          <a:spLocks noChangeShapeType="1"/>
        </xdr:cNvSpPr>
      </xdr:nvSpPr>
      <xdr:spPr bwMode="auto">
        <a:xfrm>
          <a:off x="3028950" y="54959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43</xdr:row>
      <xdr:rowOff>0</xdr:rowOff>
    </xdr:from>
    <xdr:to>
      <xdr:col>11</xdr:col>
      <xdr:colOff>9525</xdr:colOff>
      <xdr:row>43</xdr:row>
      <xdr:rowOff>0</xdr:rowOff>
    </xdr:to>
    <xdr:sp macro="" textlink="">
      <xdr:nvSpPr>
        <xdr:cNvPr id="452" name="Line 87">
          <a:extLst>
            <a:ext uri="{FF2B5EF4-FFF2-40B4-BE49-F238E27FC236}">
              <a16:creationId xmlns:a16="http://schemas.microsoft.com/office/drawing/2014/main" id="{00000000-0008-0000-0C00-0000C4010000}"/>
            </a:ext>
          </a:extLst>
        </xdr:cNvPr>
        <xdr:cNvSpPr>
          <a:spLocks noChangeShapeType="1"/>
        </xdr:cNvSpPr>
      </xdr:nvSpPr>
      <xdr:spPr bwMode="auto">
        <a:xfrm>
          <a:off x="3533775"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43</xdr:row>
      <xdr:rowOff>0</xdr:rowOff>
    </xdr:from>
    <xdr:to>
      <xdr:col>12</xdr:col>
      <xdr:colOff>9525</xdr:colOff>
      <xdr:row>43</xdr:row>
      <xdr:rowOff>0</xdr:rowOff>
    </xdr:to>
    <xdr:sp macro="" textlink="">
      <xdr:nvSpPr>
        <xdr:cNvPr id="453" name="Line 88">
          <a:extLst>
            <a:ext uri="{FF2B5EF4-FFF2-40B4-BE49-F238E27FC236}">
              <a16:creationId xmlns:a16="http://schemas.microsoft.com/office/drawing/2014/main" id="{00000000-0008-0000-0C00-0000C5010000}"/>
            </a:ext>
          </a:extLst>
        </xdr:cNvPr>
        <xdr:cNvSpPr>
          <a:spLocks noChangeShapeType="1"/>
        </xdr:cNvSpPr>
      </xdr:nvSpPr>
      <xdr:spPr bwMode="auto">
        <a:xfrm>
          <a:off x="4181475" y="54959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43</xdr:row>
      <xdr:rowOff>0</xdr:rowOff>
    </xdr:from>
    <xdr:to>
      <xdr:col>13</xdr:col>
      <xdr:colOff>9525</xdr:colOff>
      <xdr:row>43</xdr:row>
      <xdr:rowOff>0</xdr:rowOff>
    </xdr:to>
    <xdr:sp macro="" textlink="">
      <xdr:nvSpPr>
        <xdr:cNvPr id="455" name="Line 89">
          <a:extLst>
            <a:ext uri="{FF2B5EF4-FFF2-40B4-BE49-F238E27FC236}">
              <a16:creationId xmlns:a16="http://schemas.microsoft.com/office/drawing/2014/main" id="{00000000-0008-0000-0C00-0000C7010000}"/>
            </a:ext>
          </a:extLst>
        </xdr:cNvPr>
        <xdr:cNvSpPr>
          <a:spLocks noChangeShapeType="1"/>
        </xdr:cNvSpPr>
      </xdr:nvSpPr>
      <xdr:spPr bwMode="auto">
        <a:xfrm>
          <a:off x="4848225" y="54959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43</xdr:row>
      <xdr:rowOff>0</xdr:rowOff>
    </xdr:from>
    <xdr:to>
      <xdr:col>14</xdr:col>
      <xdr:colOff>9525</xdr:colOff>
      <xdr:row>43</xdr:row>
      <xdr:rowOff>0</xdr:rowOff>
    </xdr:to>
    <xdr:sp macro="" textlink="">
      <xdr:nvSpPr>
        <xdr:cNvPr id="456" name="Line 90">
          <a:extLst>
            <a:ext uri="{FF2B5EF4-FFF2-40B4-BE49-F238E27FC236}">
              <a16:creationId xmlns:a16="http://schemas.microsoft.com/office/drawing/2014/main" id="{00000000-0008-0000-0C00-0000C8010000}"/>
            </a:ext>
          </a:extLst>
        </xdr:cNvPr>
        <xdr:cNvSpPr>
          <a:spLocks noChangeShapeType="1"/>
        </xdr:cNvSpPr>
      </xdr:nvSpPr>
      <xdr:spPr bwMode="auto">
        <a:xfrm>
          <a:off x="5495925" y="54959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48</xdr:row>
      <xdr:rowOff>0</xdr:rowOff>
    </xdr:from>
    <xdr:to>
      <xdr:col>6</xdr:col>
      <xdr:colOff>9525</xdr:colOff>
      <xdr:row>48</xdr:row>
      <xdr:rowOff>0</xdr:rowOff>
    </xdr:to>
    <xdr:sp macro="" textlink="">
      <xdr:nvSpPr>
        <xdr:cNvPr id="457" name="Line 91">
          <a:extLst>
            <a:ext uri="{FF2B5EF4-FFF2-40B4-BE49-F238E27FC236}">
              <a16:creationId xmlns:a16="http://schemas.microsoft.com/office/drawing/2014/main" id="{00000000-0008-0000-0C00-0000C9010000}"/>
            </a:ext>
          </a:extLst>
        </xdr:cNvPr>
        <xdr:cNvSpPr>
          <a:spLocks noChangeShapeType="1"/>
        </xdr:cNvSpPr>
      </xdr:nvSpPr>
      <xdr:spPr bwMode="auto">
        <a:xfrm>
          <a:off x="495300" y="61626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48</xdr:row>
      <xdr:rowOff>0</xdr:rowOff>
    </xdr:from>
    <xdr:to>
      <xdr:col>7</xdr:col>
      <xdr:colOff>9525</xdr:colOff>
      <xdr:row>48</xdr:row>
      <xdr:rowOff>0</xdr:rowOff>
    </xdr:to>
    <xdr:sp macro="" textlink="">
      <xdr:nvSpPr>
        <xdr:cNvPr id="458" name="Line 92">
          <a:extLst>
            <a:ext uri="{FF2B5EF4-FFF2-40B4-BE49-F238E27FC236}">
              <a16:creationId xmlns:a16="http://schemas.microsoft.com/office/drawing/2014/main" id="{00000000-0008-0000-0C00-0000CA010000}"/>
            </a:ext>
          </a:extLst>
        </xdr:cNvPr>
        <xdr:cNvSpPr>
          <a:spLocks noChangeShapeType="1"/>
        </xdr:cNvSpPr>
      </xdr:nvSpPr>
      <xdr:spPr bwMode="auto">
        <a:xfrm>
          <a:off x="1066800"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48</xdr:row>
      <xdr:rowOff>0</xdr:rowOff>
    </xdr:from>
    <xdr:to>
      <xdr:col>8</xdr:col>
      <xdr:colOff>9525</xdr:colOff>
      <xdr:row>48</xdr:row>
      <xdr:rowOff>0</xdr:rowOff>
    </xdr:to>
    <xdr:sp macro="" textlink="">
      <xdr:nvSpPr>
        <xdr:cNvPr id="459" name="Line 93">
          <a:extLst>
            <a:ext uri="{FF2B5EF4-FFF2-40B4-BE49-F238E27FC236}">
              <a16:creationId xmlns:a16="http://schemas.microsoft.com/office/drawing/2014/main" id="{00000000-0008-0000-0C00-0000CB010000}"/>
            </a:ext>
          </a:extLst>
        </xdr:cNvPr>
        <xdr:cNvSpPr>
          <a:spLocks noChangeShapeType="1"/>
        </xdr:cNvSpPr>
      </xdr:nvSpPr>
      <xdr:spPr bwMode="auto">
        <a:xfrm>
          <a:off x="1714500" y="6162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48</xdr:row>
      <xdr:rowOff>0</xdr:rowOff>
    </xdr:from>
    <xdr:to>
      <xdr:col>9</xdr:col>
      <xdr:colOff>9525</xdr:colOff>
      <xdr:row>48</xdr:row>
      <xdr:rowOff>0</xdr:rowOff>
    </xdr:to>
    <xdr:sp macro="" textlink="">
      <xdr:nvSpPr>
        <xdr:cNvPr id="460" name="Line 94">
          <a:extLst>
            <a:ext uri="{FF2B5EF4-FFF2-40B4-BE49-F238E27FC236}">
              <a16:creationId xmlns:a16="http://schemas.microsoft.com/office/drawing/2014/main" id="{00000000-0008-0000-0C00-0000CC010000}"/>
            </a:ext>
          </a:extLst>
        </xdr:cNvPr>
        <xdr:cNvSpPr>
          <a:spLocks noChangeShapeType="1"/>
        </xdr:cNvSpPr>
      </xdr:nvSpPr>
      <xdr:spPr bwMode="auto">
        <a:xfrm>
          <a:off x="2381250"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48</xdr:row>
      <xdr:rowOff>0</xdr:rowOff>
    </xdr:from>
    <xdr:to>
      <xdr:col>10</xdr:col>
      <xdr:colOff>9525</xdr:colOff>
      <xdr:row>48</xdr:row>
      <xdr:rowOff>0</xdr:rowOff>
    </xdr:to>
    <xdr:sp macro="" textlink="">
      <xdr:nvSpPr>
        <xdr:cNvPr id="462" name="Line 95">
          <a:extLst>
            <a:ext uri="{FF2B5EF4-FFF2-40B4-BE49-F238E27FC236}">
              <a16:creationId xmlns:a16="http://schemas.microsoft.com/office/drawing/2014/main" id="{00000000-0008-0000-0C00-0000CE010000}"/>
            </a:ext>
          </a:extLst>
        </xdr:cNvPr>
        <xdr:cNvSpPr>
          <a:spLocks noChangeShapeType="1"/>
        </xdr:cNvSpPr>
      </xdr:nvSpPr>
      <xdr:spPr bwMode="auto">
        <a:xfrm>
          <a:off x="3028950" y="61626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48</xdr:row>
      <xdr:rowOff>0</xdr:rowOff>
    </xdr:from>
    <xdr:to>
      <xdr:col>11</xdr:col>
      <xdr:colOff>9525</xdr:colOff>
      <xdr:row>48</xdr:row>
      <xdr:rowOff>0</xdr:rowOff>
    </xdr:to>
    <xdr:sp macro="" textlink="">
      <xdr:nvSpPr>
        <xdr:cNvPr id="463" name="Line 96">
          <a:extLst>
            <a:ext uri="{FF2B5EF4-FFF2-40B4-BE49-F238E27FC236}">
              <a16:creationId xmlns:a16="http://schemas.microsoft.com/office/drawing/2014/main" id="{00000000-0008-0000-0C00-0000CF010000}"/>
            </a:ext>
          </a:extLst>
        </xdr:cNvPr>
        <xdr:cNvSpPr>
          <a:spLocks noChangeShapeType="1"/>
        </xdr:cNvSpPr>
      </xdr:nvSpPr>
      <xdr:spPr bwMode="auto">
        <a:xfrm>
          <a:off x="3533775"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48</xdr:row>
      <xdr:rowOff>0</xdr:rowOff>
    </xdr:from>
    <xdr:to>
      <xdr:col>12</xdr:col>
      <xdr:colOff>9525</xdr:colOff>
      <xdr:row>48</xdr:row>
      <xdr:rowOff>0</xdr:rowOff>
    </xdr:to>
    <xdr:sp macro="" textlink="">
      <xdr:nvSpPr>
        <xdr:cNvPr id="464" name="Line 97">
          <a:extLst>
            <a:ext uri="{FF2B5EF4-FFF2-40B4-BE49-F238E27FC236}">
              <a16:creationId xmlns:a16="http://schemas.microsoft.com/office/drawing/2014/main" id="{00000000-0008-0000-0C00-0000D0010000}"/>
            </a:ext>
          </a:extLst>
        </xdr:cNvPr>
        <xdr:cNvSpPr>
          <a:spLocks noChangeShapeType="1"/>
        </xdr:cNvSpPr>
      </xdr:nvSpPr>
      <xdr:spPr bwMode="auto">
        <a:xfrm>
          <a:off x="4181475" y="61626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48</xdr:row>
      <xdr:rowOff>0</xdr:rowOff>
    </xdr:from>
    <xdr:to>
      <xdr:col>13</xdr:col>
      <xdr:colOff>9525</xdr:colOff>
      <xdr:row>48</xdr:row>
      <xdr:rowOff>0</xdr:rowOff>
    </xdr:to>
    <xdr:sp macro="" textlink="">
      <xdr:nvSpPr>
        <xdr:cNvPr id="465" name="Line 98">
          <a:extLst>
            <a:ext uri="{FF2B5EF4-FFF2-40B4-BE49-F238E27FC236}">
              <a16:creationId xmlns:a16="http://schemas.microsoft.com/office/drawing/2014/main" id="{00000000-0008-0000-0C00-0000D1010000}"/>
            </a:ext>
          </a:extLst>
        </xdr:cNvPr>
        <xdr:cNvSpPr>
          <a:spLocks noChangeShapeType="1"/>
        </xdr:cNvSpPr>
      </xdr:nvSpPr>
      <xdr:spPr bwMode="auto">
        <a:xfrm>
          <a:off x="4848225" y="61626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48</xdr:row>
      <xdr:rowOff>0</xdr:rowOff>
    </xdr:from>
    <xdr:to>
      <xdr:col>14</xdr:col>
      <xdr:colOff>9525</xdr:colOff>
      <xdr:row>48</xdr:row>
      <xdr:rowOff>0</xdr:rowOff>
    </xdr:to>
    <xdr:sp macro="" textlink="">
      <xdr:nvSpPr>
        <xdr:cNvPr id="466" name="Line 99">
          <a:extLst>
            <a:ext uri="{FF2B5EF4-FFF2-40B4-BE49-F238E27FC236}">
              <a16:creationId xmlns:a16="http://schemas.microsoft.com/office/drawing/2014/main" id="{00000000-0008-0000-0C00-0000D2010000}"/>
            </a:ext>
          </a:extLst>
        </xdr:cNvPr>
        <xdr:cNvSpPr>
          <a:spLocks noChangeShapeType="1"/>
        </xdr:cNvSpPr>
      </xdr:nvSpPr>
      <xdr:spPr bwMode="auto">
        <a:xfrm>
          <a:off x="5495925" y="61626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53</xdr:row>
      <xdr:rowOff>0</xdr:rowOff>
    </xdr:from>
    <xdr:to>
      <xdr:col>6</xdr:col>
      <xdr:colOff>9525</xdr:colOff>
      <xdr:row>53</xdr:row>
      <xdr:rowOff>0</xdr:rowOff>
    </xdr:to>
    <xdr:sp macro="" textlink="">
      <xdr:nvSpPr>
        <xdr:cNvPr id="467" name="Line 100">
          <a:extLst>
            <a:ext uri="{FF2B5EF4-FFF2-40B4-BE49-F238E27FC236}">
              <a16:creationId xmlns:a16="http://schemas.microsoft.com/office/drawing/2014/main" id="{00000000-0008-0000-0C00-0000D3010000}"/>
            </a:ext>
          </a:extLst>
        </xdr:cNvPr>
        <xdr:cNvSpPr>
          <a:spLocks noChangeShapeType="1"/>
        </xdr:cNvSpPr>
      </xdr:nvSpPr>
      <xdr:spPr bwMode="auto">
        <a:xfrm>
          <a:off x="495300" y="68294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53</xdr:row>
      <xdr:rowOff>0</xdr:rowOff>
    </xdr:from>
    <xdr:to>
      <xdr:col>7</xdr:col>
      <xdr:colOff>9525</xdr:colOff>
      <xdr:row>53</xdr:row>
      <xdr:rowOff>0</xdr:rowOff>
    </xdr:to>
    <xdr:sp macro="" textlink="">
      <xdr:nvSpPr>
        <xdr:cNvPr id="468" name="Line 101">
          <a:extLst>
            <a:ext uri="{FF2B5EF4-FFF2-40B4-BE49-F238E27FC236}">
              <a16:creationId xmlns:a16="http://schemas.microsoft.com/office/drawing/2014/main" id="{00000000-0008-0000-0C00-0000D4010000}"/>
            </a:ext>
          </a:extLst>
        </xdr:cNvPr>
        <xdr:cNvSpPr>
          <a:spLocks noChangeShapeType="1"/>
        </xdr:cNvSpPr>
      </xdr:nvSpPr>
      <xdr:spPr bwMode="auto">
        <a:xfrm>
          <a:off x="1066800"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53</xdr:row>
      <xdr:rowOff>0</xdr:rowOff>
    </xdr:from>
    <xdr:to>
      <xdr:col>8</xdr:col>
      <xdr:colOff>9525</xdr:colOff>
      <xdr:row>53</xdr:row>
      <xdr:rowOff>0</xdr:rowOff>
    </xdr:to>
    <xdr:sp macro="" textlink="">
      <xdr:nvSpPr>
        <xdr:cNvPr id="469" name="Line 102">
          <a:extLst>
            <a:ext uri="{FF2B5EF4-FFF2-40B4-BE49-F238E27FC236}">
              <a16:creationId xmlns:a16="http://schemas.microsoft.com/office/drawing/2014/main" id="{00000000-0008-0000-0C00-0000D5010000}"/>
            </a:ext>
          </a:extLst>
        </xdr:cNvPr>
        <xdr:cNvSpPr>
          <a:spLocks noChangeShapeType="1"/>
        </xdr:cNvSpPr>
      </xdr:nvSpPr>
      <xdr:spPr bwMode="auto">
        <a:xfrm>
          <a:off x="1714500" y="6829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53</xdr:row>
      <xdr:rowOff>0</xdr:rowOff>
    </xdr:from>
    <xdr:to>
      <xdr:col>9</xdr:col>
      <xdr:colOff>9525</xdr:colOff>
      <xdr:row>53</xdr:row>
      <xdr:rowOff>0</xdr:rowOff>
    </xdr:to>
    <xdr:sp macro="" textlink="">
      <xdr:nvSpPr>
        <xdr:cNvPr id="470" name="Line 103">
          <a:extLst>
            <a:ext uri="{FF2B5EF4-FFF2-40B4-BE49-F238E27FC236}">
              <a16:creationId xmlns:a16="http://schemas.microsoft.com/office/drawing/2014/main" id="{00000000-0008-0000-0C00-0000D6010000}"/>
            </a:ext>
          </a:extLst>
        </xdr:cNvPr>
        <xdr:cNvSpPr>
          <a:spLocks noChangeShapeType="1"/>
        </xdr:cNvSpPr>
      </xdr:nvSpPr>
      <xdr:spPr bwMode="auto">
        <a:xfrm>
          <a:off x="2381250"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53</xdr:row>
      <xdr:rowOff>0</xdr:rowOff>
    </xdr:from>
    <xdr:to>
      <xdr:col>10</xdr:col>
      <xdr:colOff>9525</xdr:colOff>
      <xdr:row>53</xdr:row>
      <xdr:rowOff>0</xdr:rowOff>
    </xdr:to>
    <xdr:sp macro="" textlink="">
      <xdr:nvSpPr>
        <xdr:cNvPr id="471" name="Line 104">
          <a:extLst>
            <a:ext uri="{FF2B5EF4-FFF2-40B4-BE49-F238E27FC236}">
              <a16:creationId xmlns:a16="http://schemas.microsoft.com/office/drawing/2014/main" id="{00000000-0008-0000-0C00-0000D7010000}"/>
            </a:ext>
          </a:extLst>
        </xdr:cNvPr>
        <xdr:cNvSpPr>
          <a:spLocks noChangeShapeType="1"/>
        </xdr:cNvSpPr>
      </xdr:nvSpPr>
      <xdr:spPr bwMode="auto">
        <a:xfrm>
          <a:off x="3028950" y="68294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53</xdr:row>
      <xdr:rowOff>0</xdr:rowOff>
    </xdr:from>
    <xdr:to>
      <xdr:col>11</xdr:col>
      <xdr:colOff>9525</xdr:colOff>
      <xdr:row>53</xdr:row>
      <xdr:rowOff>0</xdr:rowOff>
    </xdr:to>
    <xdr:sp macro="" textlink="">
      <xdr:nvSpPr>
        <xdr:cNvPr id="472" name="Line 105">
          <a:extLst>
            <a:ext uri="{FF2B5EF4-FFF2-40B4-BE49-F238E27FC236}">
              <a16:creationId xmlns:a16="http://schemas.microsoft.com/office/drawing/2014/main" id="{00000000-0008-0000-0C00-0000D8010000}"/>
            </a:ext>
          </a:extLst>
        </xdr:cNvPr>
        <xdr:cNvSpPr>
          <a:spLocks noChangeShapeType="1"/>
        </xdr:cNvSpPr>
      </xdr:nvSpPr>
      <xdr:spPr bwMode="auto">
        <a:xfrm>
          <a:off x="3533775"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53</xdr:row>
      <xdr:rowOff>0</xdr:rowOff>
    </xdr:from>
    <xdr:to>
      <xdr:col>12</xdr:col>
      <xdr:colOff>9525</xdr:colOff>
      <xdr:row>53</xdr:row>
      <xdr:rowOff>0</xdr:rowOff>
    </xdr:to>
    <xdr:sp macro="" textlink="">
      <xdr:nvSpPr>
        <xdr:cNvPr id="473" name="Line 106">
          <a:extLst>
            <a:ext uri="{FF2B5EF4-FFF2-40B4-BE49-F238E27FC236}">
              <a16:creationId xmlns:a16="http://schemas.microsoft.com/office/drawing/2014/main" id="{00000000-0008-0000-0C00-0000D9010000}"/>
            </a:ext>
          </a:extLst>
        </xdr:cNvPr>
        <xdr:cNvSpPr>
          <a:spLocks noChangeShapeType="1"/>
        </xdr:cNvSpPr>
      </xdr:nvSpPr>
      <xdr:spPr bwMode="auto">
        <a:xfrm>
          <a:off x="4181475" y="68294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53</xdr:row>
      <xdr:rowOff>0</xdr:rowOff>
    </xdr:from>
    <xdr:to>
      <xdr:col>13</xdr:col>
      <xdr:colOff>9525</xdr:colOff>
      <xdr:row>53</xdr:row>
      <xdr:rowOff>0</xdr:rowOff>
    </xdr:to>
    <xdr:sp macro="" textlink="">
      <xdr:nvSpPr>
        <xdr:cNvPr id="474" name="Line 107">
          <a:extLst>
            <a:ext uri="{FF2B5EF4-FFF2-40B4-BE49-F238E27FC236}">
              <a16:creationId xmlns:a16="http://schemas.microsoft.com/office/drawing/2014/main" id="{00000000-0008-0000-0C00-0000DA010000}"/>
            </a:ext>
          </a:extLst>
        </xdr:cNvPr>
        <xdr:cNvSpPr>
          <a:spLocks noChangeShapeType="1"/>
        </xdr:cNvSpPr>
      </xdr:nvSpPr>
      <xdr:spPr bwMode="auto">
        <a:xfrm>
          <a:off x="4848225" y="68294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53</xdr:row>
      <xdr:rowOff>0</xdr:rowOff>
    </xdr:from>
    <xdr:to>
      <xdr:col>14</xdr:col>
      <xdr:colOff>9525</xdr:colOff>
      <xdr:row>53</xdr:row>
      <xdr:rowOff>0</xdr:rowOff>
    </xdr:to>
    <xdr:sp macro="" textlink="">
      <xdr:nvSpPr>
        <xdr:cNvPr id="475" name="Line 108">
          <a:extLst>
            <a:ext uri="{FF2B5EF4-FFF2-40B4-BE49-F238E27FC236}">
              <a16:creationId xmlns:a16="http://schemas.microsoft.com/office/drawing/2014/main" id="{00000000-0008-0000-0C00-0000DB010000}"/>
            </a:ext>
          </a:extLst>
        </xdr:cNvPr>
        <xdr:cNvSpPr>
          <a:spLocks noChangeShapeType="1"/>
        </xdr:cNvSpPr>
      </xdr:nvSpPr>
      <xdr:spPr bwMode="auto">
        <a:xfrm>
          <a:off x="5495925" y="68294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58</xdr:row>
      <xdr:rowOff>0</xdr:rowOff>
    </xdr:from>
    <xdr:to>
      <xdr:col>6</xdr:col>
      <xdr:colOff>9525</xdr:colOff>
      <xdr:row>58</xdr:row>
      <xdr:rowOff>0</xdr:rowOff>
    </xdr:to>
    <xdr:sp macro="" textlink="">
      <xdr:nvSpPr>
        <xdr:cNvPr id="476" name="Line 109">
          <a:extLst>
            <a:ext uri="{FF2B5EF4-FFF2-40B4-BE49-F238E27FC236}">
              <a16:creationId xmlns:a16="http://schemas.microsoft.com/office/drawing/2014/main" id="{00000000-0008-0000-0C00-0000DC010000}"/>
            </a:ext>
          </a:extLst>
        </xdr:cNvPr>
        <xdr:cNvSpPr>
          <a:spLocks noChangeShapeType="1"/>
        </xdr:cNvSpPr>
      </xdr:nvSpPr>
      <xdr:spPr bwMode="auto">
        <a:xfrm>
          <a:off x="495300" y="7248525"/>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58</xdr:row>
      <xdr:rowOff>0</xdr:rowOff>
    </xdr:from>
    <xdr:to>
      <xdr:col>7</xdr:col>
      <xdr:colOff>9525</xdr:colOff>
      <xdr:row>58</xdr:row>
      <xdr:rowOff>0</xdr:rowOff>
    </xdr:to>
    <xdr:sp macro="" textlink="">
      <xdr:nvSpPr>
        <xdr:cNvPr id="477" name="Line 110">
          <a:extLst>
            <a:ext uri="{FF2B5EF4-FFF2-40B4-BE49-F238E27FC236}">
              <a16:creationId xmlns:a16="http://schemas.microsoft.com/office/drawing/2014/main" id="{00000000-0008-0000-0C00-0000DD010000}"/>
            </a:ext>
          </a:extLst>
        </xdr:cNvPr>
        <xdr:cNvSpPr>
          <a:spLocks noChangeShapeType="1"/>
        </xdr:cNvSpPr>
      </xdr:nvSpPr>
      <xdr:spPr bwMode="auto">
        <a:xfrm>
          <a:off x="1066800"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58</xdr:row>
      <xdr:rowOff>0</xdr:rowOff>
    </xdr:from>
    <xdr:to>
      <xdr:col>8</xdr:col>
      <xdr:colOff>9525</xdr:colOff>
      <xdr:row>58</xdr:row>
      <xdr:rowOff>0</xdr:rowOff>
    </xdr:to>
    <xdr:sp macro="" textlink="">
      <xdr:nvSpPr>
        <xdr:cNvPr id="478" name="Line 111">
          <a:extLst>
            <a:ext uri="{FF2B5EF4-FFF2-40B4-BE49-F238E27FC236}">
              <a16:creationId xmlns:a16="http://schemas.microsoft.com/office/drawing/2014/main" id="{00000000-0008-0000-0C00-0000DE010000}"/>
            </a:ext>
          </a:extLst>
        </xdr:cNvPr>
        <xdr:cNvSpPr>
          <a:spLocks noChangeShapeType="1"/>
        </xdr:cNvSpPr>
      </xdr:nvSpPr>
      <xdr:spPr bwMode="auto">
        <a:xfrm>
          <a:off x="1714500" y="72485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58</xdr:row>
      <xdr:rowOff>0</xdr:rowOff>
    </xdr:from>
    <xdr:to>
      <xdr:col>9</xdr:col>
      <xdr:colOff>9525</xdr:colOff>
      <xdr:row>58</xdr:row>
      <xdr:rowOff>0</xdr:rowOff>
    </xdr:to>
    <xdr:sp macro="" textlink="">
      <xdr:nvSpPr>
        <xdr:cNvPr id="479" name="Line 112">
          <a:extLst>
            <a:ext uri="{FF2B5EF4-FFF2-40B4-BE49-F238E27FC236}">
              <a16:creationId xmlns:a16="http://schemas.microsoft.com/office/drawing/2014/main" id="{00000000-0008-0000-0C00-0000DF010000}"/>
            </a:ext>
          </a:extLst>
        </xdr:cNvPr>
        <xdr:cNvSpPr>
          <a:spLocks noChangeShapeType="1"/>
        </xdr:cNvSpPr>
      </xdr:nvSpPr>
      <xdr:spPr bwMode="auto">
        <a:xfrm>
          <a:off x="2381250"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58</xdr:row>
      <xdr:rowOff>0</xdr:rowOff>
    </xdr:from>
    <xdr:to>
      <xdr:col>10</xdr:col>
      <xdr:colOff>9525</xdr:colOff>
      <xdr:row>58</xdr:row>
      <xdr:rowOff>0</xdr:rowOff>
    </xdr:to>
    <xdr:sp macro="" textlink="">
      <xdr:nvSpPr>
        <xdr:cNvPr id="480" name="Line 113">
          <a:extLst>
            <a:ext uri="{FF2B5EF4-FFF2-40B4-BE49-F238E27FC236}">
              <a16:creationId xmlns:a16="http://schemas.microsoft.com/office/drawing/2014/main" id="{00000000-0008-0000-0C00-0000E0010000}"/>
            </a:ext>
          </a:extLst>
        </xdr:cNvPr>
        <xdr:cNvSpPr>
          <a:spLocks noChangeShapeType="1"/>
        </xdr:cNvSpPr>
      </xdr:nvSpPr>
      <xdr:spPr bwMode="auto">
        <a:xfrm>
          <a:off x="3028950" y="7248525"/>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58</xdr:row>
      <xdr:rowOff>0</xdr:rowOff>
    </xdr:from>
    <xdr:to>
      <xdr:col>11</xdr:col>
      <xdr:colOff>9525</xdr:colOff>
      <xdr:row>58</xdr:row>
      <xdr:rowOff>0</xdr:rowOff>
    </xdr:to>
    <xdr:sp macro="" textlink="">
      <xdr:nvSpPr>
        <xdr:cNvPr id="481" name="Line 114">
          <a:extLst>
            <a:ext uri="{FF2B5EF4-FFF2-40B4-BE49-F238E27FC236}">
              <a16:creationId xmlns:a16="http://schemas.microsoft.com/office/drawing/2014/main" id="{00000000-0008-0000-0C00-0000E1010000}"/>
            </a:ext>
          </a:extLst>
        </xdr:cNvPr>
        <xdr:cNvSpPr>
          <a:spLocks noChangeShapeType="1"/>
        </xdr:cNvSpPr>
      </xdr:nvSpPr>
      <xdr:spPr bwMode="auto">
        <a:xfrm>
          <a:off x="3533775"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58</xdr:row>
      <xdr:rowOff>0</xdr:rowOff>
    </xdr:from>
    <xdr:to>
      <xdr:col>12</xdr:col>
      <xdr:colOff>9525</xdr:colOff>
      <xdr:row>58</xdr:row>
      <xdr:rowOff>0</xdr:rowOff>
    </xdr:to>
    <xdr:sp macro="" textlink="">
      <xdr:nvSpPr>
        <xdr:cNvPr id="482" name="Line 115">
          <a:extLst>
            <a:ext uri="{FF2B5EF4-FFF2-40B4-BE49-F238E27FC236}">
              <a16:creationId xmlns:a16="http://schemas.microsoft.com/office/drawing/2014/main" id="{00000000-0008-0000-0C00-0000E2010000}"/>
            </a:ext>
          </a:extLst>
        </xdr:cNvPr>
        <xdr:cNvSpPr>
          <a:spLocks noChangeShapeType="1"/>
        </xdr:cNvSpPr>
      </xdr:nvSpPr>
      <xdr:spPr bwMode="auto">
        <a:xfrm>
          <a:off x="4181475" y="72485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58</xdr:row>
      <xdr:rowOff>0</xdr:rowOff>
    </xdr:from>
    <xdr:to>
      <xdr:col>13</xdr:col>
      <xdr:colOff>9525</xdr:colOff>
      <xdr:row>58</xdr:row>
      <xdr:rowOff>0</xdr:rowOff>
    </xdr:to>
    <xdr:sp macro="" textlink="">
      <xdr:nvSpPr>
        <xdr:cNvPr id="483" name="Line 116">
          <a:extLst>
            <a:ext uri="{FF2B5EF4-FFF2-40B4-BE49-F238E27FC236}">
              <a16:creationId xmlns:a16="http://schemas.microsoft.com/office/drawing/2014/main" id="{00000000-0008-0000-0C00-0000E3010000}"/>
            </a:ext>
          </a:extLst>
        </xdr:cNvPr>
        <xdr:cNvSpPr>
          <a:spLocks noChangeShapeType="1"/>
        </xdr:cNvSpPr>
      </xdr:nvSpPr>
      <xdr:spPr bwMode="auto">
        <a:xfrm>
          <a:off x="4848225" y="72485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58</xdr:row>
      <xdr:rowOff>0</xdr:rowOff>
    </xdr:from>
    <xdr:to>
      <xdr:col>14</xdr:col>
      <xdr:colOff>9525</xdr:colOff>
      <xdr:row>58</xdr:row>
      <xdr:rowOff>0</xdr:rowOff>
    </xdr:to>
    <xdr:sp macro="" textlink="">
      <xdr:nvSpPr>
        <xdr:cNvPr id="484" name="Line 117">
          <a:extLst>
            <a:ext uri="{FF2B5EF4-FFF2-40B4-BE49-F238E27FC236}">
              <a16:creationId xmlns:a16="http://schemas.microsoft.com/office/drawing/2014/main" id="{00000000-0008-0000-0C00-0000E4010000}"/>
            </a:ext>
          </a:extLst>
        </xdr:cNvPr>
        <xdr:cNvSpPr>
          <a:spLocks noChangeShapeType="1"/>
        </xdr:cNvSpPr>
      </xdr:nvSpPr>
      <xdr:spPr bwMode="auto">
        <a:xfrm>
          <a:off x="5495925" y="7248525"/>
          <a:ext cx="6953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64</xdr:row>
      <xdr:rowOff>0</xdr:rowOff>
    </xdr:from>
    <xdr:to>
      <xdr:col>6</xdr:col>
      <xdr:colOff>9525</xdr:colOff>
      <xdr:row>64</xdr:row>
      <xdr:rowOff>0</xdr:rowOff>
    </xdr:to>
    <xdr:sp macro="" textlink="">
      <xdr:nvSpPr>
        <xdr:cNvPr id="485" name="Line 118">
          <a:extLst>
            <a:ext uri="{FF2B5EF4-FFF2-40B4-BE49-F238E27FC236}">
              <a16:creationId xmlns:a16="http://schemas.microsoft.com/office/drawing/2014/main" id="{00000000-0008-0000-0C00-0000E5010000}"/>
            </a:ext>
          </a:extLst>
        </xdr:cNvPr>
        <xdr:cNvSpPr>
          <a:spLocks noChangeShapeType="1"/>
        </xdr:cNvSpPr>
      </xdr:nvSpPr>
      <xdr:spPr bwMode="auto">
        <a:xfrm>
          <a:off x="495300" y="79533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64</xdr:row>
      <xdr:rowOff>0</xdr:rowOff>
    </xdr:from>
    <xdr:to>
      <xdr:col>7</xdr:col>
      <xdr:colOff>9525</xdr:colOff>
      <xdr:row>64</xdr:row>
      <xdr:rowOff>0</xdr:rowOff>
    </xdr:to>
    <xdr:sp macro="" textlink="">
      <xdr:nvSpPr>
        <xdr:cNvPr id="486" name="Line 119">
          <a:extLst>
            <a:ext uri="{FF2B5EF4-FFF2-40B4-BE49-F238E27FC236}">
              <a16:creationId xmlns:a16="http://schemas.microsoft.com/office/drawing/2014/main" id="{00000000-0008-0000-0C00-0000E6010000}"/>
            </a:ext>
          </a:extLst>
        </xdr:cNvPr>
        <xdr:cNvSpPr>
          <a:spLocks noChangeShapeType="1"/>
        </xdr:cNvSpPr>
      </xdr:nvSpPr>
      <xdr:spPr bwMode="auto">
        <a:xfrm>
          <a:off x="1066800"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64</xdr:row>
      <xdr:rowOff>0</xdr:rowOff>
    </xdr:from>
    <xdr:to>
      <xdr:col>8</xdr:col>
      <xdr:colOff>9525</xdr:colOff>
      <xdr:row>64</xdr:row>
      <xdr:rowOff>0</xdr:rowOff>
    </xdr:to>
    <xdr:sp macro="" textlink="">
      <xdr:nvSpPr>
        <xdr:cNvPr id="487" name="Line 120">
          <a:extLst>
            <a:ext uri="{FF2B5EF4-FFF2-40B4-BE49-F238E27FC236}">
              <a16:creationId xmlns:a16="http://schemas.microsoft.com/office/drawing/2014/main" id="{00000000-0008-0000-0C00-0000E7010000}"/>
            </a:ext>
          </a:extLst>
        </xdr:cNvPr>
        <xdr:cNvSpPr>
          <a:spLocks noChangeShapeType="1"/>
        </xdr:cNvSpPr>
      </xdr:nvSpPr>
      <xdr:spPr bwMode="auto">
        <a:xfrm>
          <a:off x="1714500" y="79533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64</xdr:row>
      <xdr:rowOff>0</xdr:rowOff>
    </xdr:from>
    <xdr:to>
      <xdr:col>9</xdr:col>
      <xdr:colOff>9525</xdr:colOff>
      <xdr:row>64</xdr:row>
      <xdr:rowOff>0</xdr:rowOff>
    </xdr:to>
    <xdr:sp macro="" textlink="">
      <xdr:nvSpPr>
        <xdr:cNvPr id="488" name="Line 121">
          <a:extLst>
            <a:ext uri="{FF2B5EF4-FFF2-40B4-BE49-F238E27FC236}">
              <a16:creationId xmlns:a16="http://schemas.microsoft.com/office/drawing/2014/main" id="{00000000-0008-0000-0C00-0000E8010000}"/>
            </a:ext>
          </a:extLst>
        </xdr:cNvPr>
        <xdr:cNvSpPr>
          <a:spLocks noChangeShapeType="1"/>
        </xdr:cNvSpPr>
      </xdr:nvSpPr>
      <xdr:spPr bwMode="auto">
        <a:xfrm>
          <a:off x="2381250"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64</xdr:row>
      <xdr:rowOff>0</xdr:rowOff>
    </xdr:from>
    <xdr:to>
      <xdr:col>10</xdr:col>
      <xdr:colOff>9525</xdr:colOff>
      <xdr:row>64</xdr:row>
      <xdr:rowOff>0</xdr:rowOff>
    </xdr:to>
    <xdr:sp macro="" textlink="">
      <xdr:nvSpPr>
        <xdr:cNvPr id="489" name="Line 122">
          <a:extLst>
            <a:ext uri="{FF2B5EF4-FFF2-40B4-BE49-F238E27FC236}">
              <a16:creationId xmlns:a16="http://schemas.microsoft.com/office/drawing/2014/main" id="{00000000-0008-0000-0C00-0000E9010000}"/>
            </a:ext>
          </a:extLst>
        </xdr:cNvPr>
        <xdr:cNvSpPr>
          <a:spLocks noChangeShapeType="1"/>
        </xdr:cNvSpPr>
      </xdr:nvSpPr>
      <xdr:spPr bwMode="auto">
        <a:xfrm>
          <a:off x="3028950" y="79533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64</xdr:row>
      <xdr:rowOff>0</xdr:rowOff>
    </xdr:from>
    <xdr:to>
      <xdr:col>11</xdr:col>
      <xdr:colOff>9525</xdr:colOff>
      <xdr:row>64</xdr:row>
      <xdr:rowOff>0</xdr:rowOff>
    </xdr:to>
    <xdr:sp macro="" textlink="">
      <xdr:nvSpPr>
        <xdr:cNvPr id="490" name="Line 123">
          <a:extLst>
            <a:ext uri="{FF2B5EF4-FFF2-40B4-BE49-F238E27FC236}">
              <a16:creationId xmlns:a16="http://schemas.microsoft.com/office/drawing/2014/main" id="{00000000-0008-0000-0C00-0000EA010000}"/>
            </a:ext>
          </a:extLst>
        </xdr:cNvPr>
        <xdr:cNvSpPr>
          <a:spLocks noChangeShapeType="1"/>
        </xdr:cNvSpPr>
      </xdr:nvSpPr>
      <xdr:spPr bwMode="auto">
        <a:xfrm>
          <a:off x="3533775"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64</xdr:row>
      <xdr:rowOff>0</xdr:rowOff>
    </xdr:from>
    <xdr:to>
      <xdr:col>12</xdr:col>
      <xdr:colOff>9525</xdr:colOff>
      <xdr:row>64</xdr:row>
      <xdr:rowOff>0</xdr:rowOff>
    </xdr:to>
    <xdr:sp macro="" textlink="">
      <xdr:nvSpPr>
        <xdr:cNvPr id="491" name="Line 124">
          <a:extLst>
            <a:ext uri="{FF2B5EF4-FFF2-40B4-BE49-F238E27FC236}">
              <a16:creationId xmlns:a16="http://schemas.microsoft.com/office/drawing/2014/main" id="{00000000-0008-0000-0C00-0000EB010000}"/>
            </a:ext>
          </a:extLst>
        </xdr:cNvPr>
        <xdr:cNvSpPr>
          <a:spLocks noChangeShapeType="1"/>
        </xdr:cNvSpPr>
      </xdr:nvSpPr>
      <xdr:spPr bwMode="auto">
        <a:xfrm>
          <a:off x="4181475" y="79533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64</xdr:row>
      <xdr:rowOff>0</xdr:rowOff>
    </xdr:from>
    <xdr:to>
      <xdr:col>13</xdr:col>
      <xdr:colOff>9525</xdr:colOff>
      <xdr:row>64</xdr:row>
      <xdr:rowOff>0</xdr:rowOff>
    </xdr:to>
    <xdr:sp macro="" textlink="">
      <xdr:nvSpPr>
        <xdr:cNvPr id="492" name="Line 125">
          <a:extLst>
            <a:ext uri="{FF2B5EF4-FFF2-40B4-BE49-F238E27FC236}">
              <a16:creationId xmlns:a16="http://schemas.microsoft.com/office/drawing/2014/main" id="{00000000-0008-0000-0C00-0000EC010000}"/>
            </a:ext>
          </a:extLst>
        </xdr:cNvPr>
        <xdr:cNvSpPr>
          <a:spLocks noChangeShapeType="1"/>
        </xdr:cNvSpPr>
      </xdr:nvSpPr>
      <xdr:spPr bwMode="auto">
        <a:xfrm>
          <a:off x="4848225" y="79533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13</xdr:col>
      <xdr:colOff>9525</xdr:colOff>
      <xdr:row>64</xdr:row>
      <xdr:rowOff>0</xdr:rowOff>
    </xdr:from>
    <xdr:to>
      <xdr:col>14</xdr:col>
      <xdr:colOff>9525</xdr:colOff>
      <xdr:row>64</xdr:row>
      <xdr:rowOff>0</xdr:rowOff>
    </xdr:to>
    <xdr:sp macro="" textlink="">
      <xdr:nvSpPr>
        <xdr:cNvPr id="493" name="Line 126">
          <a:extLst>
            <a:ext uri="{FF2B5EF4-FFF2-40B4-BE49-F238E27FC236}">
              <a16:creationId xmlns:a16="http://schemas.microsoft.com/office/drawing/2014/main" id="{00000000-0008-0000-0C00-0000ED010000}"/>
            </a:ext>
          </a:extLst>
        </xdr:cNvPr>
        <xdr:cNvSpPr>
          <a:spLocks noChangeShapeType="1"/>
        </xdr:cNvSpPr>
      </xdr:nvSpPr>
      <xdr:spPr bwMode="auto">
        <a:xfrm>
          <a:off x="5495925" y="79533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65</xdr:row>
      <xdr:rowOff>0</xdr:rowOff>
    </xdr:from>
    <xdr:to>
      <xdr:col>6</xdr:col>
      <xdr:colOff>9525</xdr:colOff>
      <xdr:row>65</xdr:row>
      <xdr:rowOff>0</xdr:rowOff>
    </xdr:to>
    <xdr:sp macro="" textlink="">
      <xdr:nvSpPr>
        <xdr:cNvPr id="494" name="Line 127">
          <a:extLst>
            <a:ext uri="{FF2B5EF4-FFF2-40B4-BE49-F238E27FC236}">
              <a16:creationId xmlns:a16="http://schemas.microsoft.com/office/drawing/2014/main" id="{00000000-0008-0000-0C00-0000EE010000}"/>
            </a:ext>
          </a:extLst>
        </xdr:cNvPr>
        <xdr:cNvSpPr>
          <a:spLocks noChangeShapeType="1"/>
        </xdr:cNvSpPr>
      </xdr:nvSpPr>
      <xdr:spPr bwMode="auto">
        <a:xfrm>
          <a:off x="495300" y="80867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65</xdr:row>
      <xdr:rowOff>0</xdr:rowOff>
    </xdr:from>
    <xdr:to>
      <xdr:col>7</xdr:col>
      <xdr:colOff>9525</xdr:colOff>
      <xdr:row>65</xdr:row>
      <xdr:rowOff>0</xdr:rowOff>
    </xdr:to>
    <xdr:sp macro="" textlink="">
      <xdr:nvSpPr>
        <xdr:cNvPr id="495" name="Line 128">
          <a:extLst>
            <a:ext uri="{FF2B5EF4-FFF2-40B4-BE49-F238E27FC236}">
              <a16:creationId xmlns:a16="http://schemas.microsoft.com/office/drawing/2014/main" id="{00000000-0008-0000-0C00-0000EF010000}"/>
            </a:ext>
          </a:extLst>
        </xdr:cNvPr>
        <xdr:cNvSpPr>
          <a:spLocks noChangeShapeType="1"/>
        </xdr:cNvSpPr>
      </xdr:nvSpPr>
      <xdr:spPr bwMode="auto">
        <a:xfrm>
          <a:off x="1066800"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65</xdr:row>
      <xdr:rowOff>0</xdr:rowOff>
    </xdr:from>
    <xdr:to>
      <xdr:col>8</xdr:col>
      <xdr:colOff>9525</xdr:colOff>
      <xdr:row>65</xdr:row>
      <xdr:rowOff>0</xdr:rowOff>
    </xdr:to>
    <xdr:sp macro="" textlink="">
      <xdr:nvSpPr>
        <xdr:cNvPr id="496" name="Line 129">
          <a:extLst>
            <a:ext uri="{FF2B5EF4-FFF2-40B4-BE49-F238E27FC236}">
              <a16:creationId xmlns:a16="http://schemas.microsoft.com/office/drawing/2014/main" id="{00000000-0008-0000-0C00-0000F0010000}"/>
            </a:ext>
          </a:extLst>
        </xdr:cNvPr>
        <xdr:cNvSpPr>
          <a:spLocks noChangeShapeType="1"/>
        </xdr:cNvSpPr>
      </xdr:nvSpPr>
      <xdr:spPr bwMode="auto">
        <a:xfrm>
          <a:off x="1714500" y="80867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8</xdr:col>
      <xdr:colOff>9525</xdr:colOff>
      <xdr:row>65</xdr:row>
      <xdr:rowOff>0</xdr:rowOff>
    </xdr:from>
    <xdr:to>
      <xdr:col>9</xdr:col>
      <xdr:colOff>9525</xdr:colOff>
      <xdr:row>65</xdr:row>
      <xdr:rowOff>0</xdr:rowOff>
    </xdr:to>
    <xdr:sp macro="" textlink="">
      <xdr:nvSpPr>
        <xdr:cNvPr id="497" name="Line 130">
          <a:extLst>
            <a:ext uri="{FF2B5EF4-FFF2-40B4-BE49-F238E27FC236}">
              <a16:creationId xmlns:a16="http://schemas.microsoft.com/office/drawing/2014/main" id="{00000000-0008-0000-0C00-0000F1010000}"/>
            </a:ext>
          </a:extLst>
        </xdr:cNvPr>
        <xdr:cNvSpPr>
          <a:spLocks noChangeShapeType="1"/>
        </xdr:cNvSpPr>
      </xdr:nvSpPr>
      <xdr:spPr bwMode="auto">
        <a:xfrm>
          <a:off x="2381250"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65</xdr:row>
      <xdr:rowOff>0</xdr:rowOff>
    </xdr:from>
    <xdr:to>
      <xdr:col>10</xdr:col>
      <xdr:colOff>9525</xdr:colOff>
      <xdr:row>65</xdr:row>
      <xdr:rowOff>0</xdr:rowOff>
    </xdr:to>
    <xdr:sp macro="" textlink="">
      <xdr:nvSpPr>
        <xdr:cNvPr id="498" name="Line 131">
          <a:extLst>
            <a:ext uri="{FF2B5EF4-FFF2-40B4-BE49-F238E27FC236}">
              <a16:creationId xmlns:a16="http://schemas.microsoft.com/office/drawing/2014/main" id="{00000000-0008-0000-0C00-0000F2010000}"/>
            </a:ext>
          </a:extLst>
        </xdr:cNvPr>
        <xdr:cNvSpPr>
          <a:spLocks noChangeShapeType="1"/>
        </xdr:cNvSpPr>
      </xdr:nvSpPr>
      <xdr:spPr bwMode="auto">
        <a:xfrm>
          <a:off x="3028950" y="80867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65</xdr:row>
      <xdr:rowOff>0</xdr:rowOff>
    </xdr:from>
    <xdr:to>
      <xdr:col>11</xdr:col>
      <xdr:colOff>9525</xdr:colOff>
      <xdr:row>65</xdr:row>
      <xdr:rowOff>0</xdr:rowOff>
    </xdr:to>
    <xdr:sp macro="" textlink="">
      <xdr:nvSpPr>
        <xdr:cNvPr id="499" name="Line 132">
          <a:extLst>
            <a:ext uri="{FF2B5EF4-FFF2-40B4-BE49-F238E27FC236}">
              <a16:creationId xmlns:a16="http://schemas.microsoft.com/office/drawing/2014/main" id="{00000000-0008-0000-0C00-0000F3010000}"/>
            </a:ext>
          </a:extLst>
        </xdr:cNvPr>
        <xdr:cNvSpPr>
          <a:spLocks noChangeShapeType="1"/>
        </xdr:cNvSpPr>
      </xdr:nvSpPr>
      <xdr:spPr bwMode="auto">
        <a:xfrm>
          <a:off x="3533775"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65</xdr:row>
      <xdr:rowOff>0</xdr:rowOff>
    </xdr:from>
    <xdr:to>
      <xdr:col>12</xdr:col>
      <xdr:colOff>9525</xdr:colOff>
      <xdr:row>65</xdr:row>
      <xdr:rowOff>0</xdr:rowOff>
    </xdr:to>
    <xdr:sp macro="" textlink="">
      <xdr:nvSpPr>
        <xdr:cNvPr id="500" name="Line 133">
          <a:extLst>
            <a:ext uri="{FF2B5EF4-FFF2-40B4-BE49-F238E27FC236}">
              <a16:creationId xmlns:a16="http://schemas.microsoft.com/office/drawing/2014/main" id="{00000000-0008-0000-0C00-0000F4010000}"/>
            </a:ext>
          </a:extLst>
        </xdr:cNvPr>
        <xdr:cNvSpPr>
          <a:spLocks noChangeShapeType="1"/>
        </xdr:cNvSpPr>
      </xdr:nvSpPr>
      <xdr:spPr bwMode="auto">
        <a:xfrm>
          <a:off x="4181475" y="80867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65</xdr:row>
      <xdr:rowOff>0</xdr:rowOff>
    </xdr:from>
    <xdr:to>
      <xdr:col>13</xdr:col>
      <xdr:colOff>9525</xdr:colOff>
      <xdr:row>65</xdr:row>
      <xdr:rowOff>0</xdr:rowOff>
    </xdr:to>
    <xdr:sp macro="" textlink="">
      <xdr:nvSpPr>
        <xdr:cNvPr id="501" name="Line 134">
          <a:extLst>
            <a:ext uri="{FF2B5EF4-FFF2-40B4-BE49-F238E27FC236}">
              <a16:creationId xmlns:a16="http://schemas.microsoft.com/office/drawing/2014/main" id="{00000000-0008-0000-0C00-0000F5010000}"/>
            </a:ext>
          </a:extLst>
        </xdr:cNvPr>
        <xdr:cNvSpPr>
          <a:spLocks noChangeShapeType="1"/>
        </xdr:cNvSpPr>
      </xdr:nvSpPr>
      <xdr:spPr bwMode="auto">
        <a:xfrm>
          <a:off x="4848225" y="80867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65</xdr:row>
      <xdr:rowOff>0</xdr:rowOff>
    </xdr:from>
    <xdr:to>
      <xdr:col>14</xdr:col>
      <xdr:colOff>9525</xdr:colOff>
      <xdr:row>65</xdr:row>
      <xdr:rowOff>0</xdr:rowOff>
    </xdr:to>
    <xdr:sp macro="" textlink="">
      <xdr:nvSpPr>
        <xdr:cNvPr id="502" name="Line 135">
          <a:extLst>
            <a:ext uri="{FF2B5EF4-FFF2-40B4-BE49-F238E27FC236}">
              <a16:creationId xmlns:a16="http://schemas.microsoft.com/office/drawing/2014/main" id="{00000000-0008-0000-0C00-0000F6010000}"/>
            </a:ext>
          </a:extLst>
        </xdr:cNvPr>
        <xdr:cNvSpPr>
          <a:spLocks noChangeShapeType="1"/>
        </xdr:cNvSpPr>
      </xdr:nvSpPr>
      <xdr:spPr bwMode="auto">
        <a:xfrm>
          <a:off x="5495925" y="80867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66</xdr:row>
      <xdr:rowOff>0</xdr:rowOff>
    </xdr:from>
    <xdr:to>
      <xdr:col>6</xdr:col>
      <xdr:colOff>9525</xdr:colOff>
      <xdr:row>66</xdr:row>
      <xdr:rowOff>0</xdr:rowOff>
    </xdr:to>
    <xdr:sp macro="" textlink="">
      <xdr:nvSpPr>
        <xdr:cNvPr id="503" name="Line 136">
          <a:extLst>
            <a:ext uri="{FF2B5EF4-FFF2-40B4-BE49-F238E27FC236}">
              <a16:creationId xmlns:a16="http://schemas.microsoft.com/office/drawing/2014/main" id="{00000000-0008-0000-0C00-0000F7010000}"/>
            </a:ext>
          </a:extLst>
        </xdr:cNvPr>
        <xdr:cNvSpPr>
          <a:spLocks noChangeShapeType="1"/>
        </xdr:cNvSpPr>
      </xdr:nvSpPr>
      <xdr:spPr bwMode="auto">
        <a:xfrm>
          <a:off x="495300" y="82200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66</xdr:row>
      <xdr:rowOff>0</xdr:rowOff>
    </xdr:from>
    <xdr:to>
      <xdr:col>7</xdr:col>
      <xdr:colOff>9525</xdr:colOff>
      <xdr:row>66</xdr:row>
      <xdr:rowOff>0</xdr:rowOff>
    </xdr:to>
    <xdr:sp macro="" textlink="">
      <xdr:nvSpPr>
        <xdr:cNvPr id="504" name="Line 137">
          <a:extLst>
            <a:ext uri="{FF2B5EF4-FFF2-40B4-BE49-F238E27FC236}">
              <a16:creationId xmlns:a16="http://schemas.microsoft.com/office/drawing/2014/main" id="{00000000-0008-0000-0C00-0000F8010000}"/>
            </a:ext>
          </a:extLst>
        </xdr:cNvPr>
        <xdr:cNvSpPr>
          <a:spLocks noChangeShapeType="1"/>
        </xdr:cNvSpPr>
      </xdr:nvSpPr>
      <xdr:spPr bwMode="auto">
        <a:xfrm>
          <a:off x="1066800"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66</xdr:row>
      <xdr:rowOff>0</xdr:rowOff>
    </xdr:from>
    <xdr:to>
      <xdr:col>8</xdr:col>
      <xdr:colOff>9525</xdr:colOff>
      <xdr:row>66</xdr:row>
      <xdr:rowOff>0</xdr:rowOff>
    </xdr:to>
    <xdr:sp macro="" textlink="">
      <xdr:nvSpPr>
        <xdr:cNvPr id="505" name="Line 138">
          <a:extLst>
            <a:ext uri="{FF2B5EF4-FFF2-40B4-BE49-F238E27FC236}">
              <a16:creationId xmlns:a16="http://schemas.microsoft.com/office/drawing/2014/main" id="{00000000-0008-0000-0C00-0000F9010000}"/>
            </a:ext>
          </a:extLst>
        </xdr:cNvPr>
        <xdr:cNvSpPr>
          <a:spLocks noChangeShapeType="1"/>
        </xdr:cNvSpPr>
      </xdr:nvSpPr>
      <xdr:spPr bwMode="auto">
        <a:xfrm>
          <a:off x="1714500" y="82200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66</xdr:row>
      <xdr:rowOff>0</xdr:rowOff>
    </xdr:from>
    <xdr:to>
      <xdr:col>9</xdr:col>
      <xdr:colOff>9525</xdr:colOff>
      <xdr:row>66</xdr:row>
      <xdr:rowOff>0</xdr:rowOff>
    </xdr:to>
    <xdr:sp macro="" textlink="">
      <xdr:nvSpPr>
        <xdr:cNvPr id="506" name="Line 139">
          <a:extLst>
            <a:ext uri="{FF2B5EF4-FFF2-40B4-BE49-F238E27FC236}">
              <a16:creationId xmlns:a16="http://schemas.microsoft.com/office/drawing/2014/main" id="{00000000-0008-0000-0C00-0000FA010000}"/>
            </a:ext>
          </a:extLst>
        </xdr:cNvPr>
        <xdr:cNvSpPr>
          <a:spLocks noChangeShapeType="1"/>
        </xdr:cNvSpPr>
      </xdr:nvSpPr>
      <xdr:spPr bwMode="auto">
        <a:xfrm>
          <a:off x="2381250"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66</xdr:row>
      <xdr:rowOff>0</xdr:rowOff>
    </xdr:from>
    <xdr:to>
      <xdr:col>10</xdr:col>
      <xdr:colOff>9525</xdr:colOff>
      <xdr:row>66</xdr:row>
      <xdr:rowOff>0</xdr:rowOff>
    </xdr:to>
    <xdr:sp macro="" textlink="">
      <xdr:nvSpPr>
        <xdr:cNvPr id="507" name="Line 140">
          <a:extLst>
            <a:ext uri="{FF2B5EF4-FFF2-40B4-BE49-F238E27FC236}">
              <a16:creationId xmlns:a16="http://schemas.microsoft.com/office/drawing/2014/main" id="{00000000-0008-0000-0C00-0000FB010000}"/>
            </a:ext>
          </a:extLst>
        </xdr:cNvPr>
        <xdr:cNvSpPr>
          <a:spLocks noChangeShapeType="1"/>
        </xdr:cNvSpPr>
      </xdr:nvSpPr>
      <xdr:spPr bwMode="auto">
        <a:xfrm>
          <a:off x="3028950" y="82200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66</xdr:row>
      <xdr:rowOff>0</xdr:rowOff>
    </xdr:from>
    <xdr:to>
      <xdr:col>11</xdr:col>
      <xdr:colOff>9525</xdr:colOff>
      <xdr:row>66</xdr:row>
      <xdr:rowOff>0</xdr:rowOff>
    </xdr:to>
    <xdr:sp macro="" textlink="">
      <xdr:nvSpPr>
        <xdr:cNvPr id="508" name="Line 141">
          <a:extLst>
            <a:ext uri="{FF2B5EF4-FFF2-40B4-BE49-F238E27FC236}">
              <a16:creationId xmlns:a16="http://schemas.microsoft.com/office/drawing/2014/main" id="{00000000-0008-0000-0C00-0000FC010000}"/>
            </a:ext>
          </a:extLst>
        </xdr:cNvPr>
        <xdr:cNvSpPr>
          <a:spLocks noChangeShapeType="1"/>
        </xdr:cNvSpPr>
      </xdr:nvSpPr>
      <xdr:spPr bwMode="auto">
        <a:xfrm>
          <a:off x="3533775"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66</xdr:row>
      <xdr:rowOff>0</xdr:rowOff>
    </xdr:from>
    <xdr:to>
      <xdr:col>12</xdr:col>
      <xdr:colOff>9525</xdr:colOff>
      <xdr:row>66</xdr:row>
      <xdr:rowOff>0</xdr:rowOff>
    </xdr:to>
    <xdr:sp macro="" textlink="">
      <xdr:nvSpPr>
        <xdr:cNvPr id="509" name="Line 142">
          <a:extLst>
            <a:ext uri="{FF2B5EF4-FFF2-40B4-BE49-F238E27FC236}">
              <a16:creationId xmlns:a16="http://schemas.microsoft.com/office/drawing/2014/main" id="{00000000-0008-0000-0C00-0000FD010000}"/>
            </a:ext>
          </a:extLst>
        </xdr:cNvPr>
        <xdr:cNvSpPr>
          <a:spLocks noChangeShapeType="1"/>
        </xdr:cNvSpPr>
      </xdr:nvSpPr>
      <xdr:spPr bwMode="auto">
        <a:xfrm>
          <a:off x="4181475" y="82200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66</xdr:row>
      <xdr:rowOff>0</xdr:rowOff>
    </xdr:from>
    <xdr:to>
      <xdr:col>13</xdr:col>
      <xdr:colOff>9525</xdr:colOff>
      <xdr:row>66</xdr:row>
      <xdr:rowOff>0</xdr:rowOff>
    </xdr:to>
    <xdr:sp macro="" textlink="">
      <xdr:nvSpPr>
        <xdr:cNvPr id="510" name="Line 143">
          <a:extLst>
            <a:ext uri="{FF2B5EF4-FFF2-40B4-BE49-F238E27FC236}">
              <a16:creationId xmlns:a16="http://schemas.microsoft.com/office/drawing/2014/main" id="{00000000-0008-0000-0C00-0000FE010000}"/>
            </a:ext>
          </a:extLst>
        </xdr:cNvPr>
        <xdr:cNvSpPr>
          <a:spLocks noChangeShapeType="1"/>
        </xdr:cNvSpPr>
      </xdr:nvSpPr>
      <xdr:spPr bwMode="auto">
        <a:xfrm>
          <a:off x="4848225" y="82200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66</xdr:row>
      <xdr:rowOff>0</xdr:rowOff>
    </xdr:from>
    <xdr:to>
      <xdr:col>14</xdr:col>
      <xdr:colOff>9525</xdr:colOff>
      <xdr:row>66</xdr:row>
      <xdr:rowOff>0</xdr:rowOff>
    </xdr:to>
    <xdr:sp macro="" textlink="">
      <xdr:nvSpPr>
        <xdr:cNvPr id="511" name="Line 144">
          <a:extLst>
            <a:ext uri="{FF2B5EF4-FFF2-40B4-BE49-F238E27FC236}">
              <a16:creationId xmlns:a16="http://schemas.microsoft.com/office/drawing/2014/main" id="{00000000-0008-0000-0C00-0000FF010000}"/>
            </a:ext>
          </a:extLst>
        </xdr:cNvPr>
        <xdr:cNvSpPr>
          <a:spLocks noChangeShapeType="1"/>
        </xdr:cNvSpPr>
      </xdr:nvSpPr>
      <xdr:spPr bwMode="auto">
        <a:xfrm>
          <a:off x="5495925" y="82200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68</xdr:row>
      <xdr:rowOff>0</xdr:rowOff>
    </xdr:from>
    <xdr:to>
      <xdr:col>6</xdr:col>
      <xdr:colOff>9525</xdr:colOff>
      <xdr:row>68</xdr:row>
      <xdr:rowOff>0</xdr:rowOff>
    </xdr:to>
    <xdr:sp macro="" textlink="">
      <xdr:nvSpPr>
        <xdr:cNvPr id="512" name="Line 145">
          <a:extLst>
            <a:ext uri="{FF2B5EF4-FFF2-40B4-BE49-F238E27FC236}">
              <a16:creationId xmlns:a16="http://schemas.microsoft.com/office/drawing/2014/main" id="{00000000-0008-0000-0C00-000000020000}"/>
            </a:ext>
          </a:extLst>
        </xdr:cNvPr>
        <xdr:cNvSpPr>
          <a:spLocks noChangeShapeType="1"/>
        </xdr:cNvSpPr>
      </xdr:nvSpPr>
      <xdr:spPr bwMode="auto">
        <a:xfrm>
          <a:off x="495300" y="84867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68</xdr:row>
      <xdr:rowOff>0</xdr:rowOff>
    </xdr:from>
    <xdr:to>
      <xdr:col>7</xdr:col>
      <xdr:colOff>9525</xdr:colOff>
      <xdr:row>68</xdr:row>
      <xdr:rowOff>0</xdr:rowOff>
    </xdr:to>
    <xdr:sp macro="" textlink="">
      <xdr:nvSpPr>
        <xdr:cNvPr id="513" name="Line 146">
          <a:extLst>
            <a:ext uri="{FF2B5EF4-FFF2-40B4-BE49-F238E27FC236}">
              <a16:creationId xmlns:a16="http://schemas.microsoft.com/office/drawing/2014/main" id="{00000000-0008-0000-0C00-000001020000}"/>
            </a:ext>
          </a:extLst>
        </xdr:cNvPr>
        <xdr:cNvSpPr>
          <a:spLocks noChangeShapeType="1"/>
        </xdr:cNvSpPr>
      </xdr:nvSpPr>
      <xdr:spPr bwMode="auto">
        <a:xfrm>
          <a:off x="1066800"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68</xdr:row>
      <xdr:rowOff>0</xdr:rowOff>
    </xdr:from>
    <xdr:to>
      <xdr:col>8</xdr:col>
      <xdr:colOff>9525</xdr:colOff>
      <xdr:row>68</xdr:row>
      <xdr:rowOff>0</xdr:rowOff>
    </xdr:to>
    <xdr:sp macro="" textlink="">
      <xdr:nvSpPr>
        <xdr:cNvPr id="514" name="Line 147">
          <a:extLst>
            <a:ext uri="{FF2B5EF4-FFF2-40B4-BE49-F238E27FC236}">
              <a16:creationId xmlns:a16="http://schemas.microsoft.com/office/drawing/2014/main" id="{00000000-0008-0000-0C00-000002020000}"/>
            </a:ext>
          </a:extLst>
        </xdr:cNvPr>
        <xdr:cNvSpPr>
          <a:spLocks noChangeShapeType="1"/>
        </xdr:cNvSpPr>
      </xdr:nvSpPr>
      <xdr:spPr bwMode="auto">
        <a:xfrm>
          <a:off x="1714500" y="84867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68</xdr:row>
      <xdr:rowOff>0</xdr:rowOff>
    </xdr:from>
    <xdr:to>
      <xdr:col>9</xdr:col>
      <xdr:colOff>9525</xdr:colOff>
      <xdr:row>68</xdr:row>
      <xdr:rowOff>0</xdr:rowOff>
    </xdr:to>
    <xdr:sp macro="" textlink="">
      <xdr:nvSpPr>
        <xdr:cNvPr id="515" name="Line 148">
          <a:extLst>
            <a:ext uri="{FF2B5EF4-FFF2-40B4-BE49-F238E27FC236}">
              <a16:creationId xmlns:a16="http://schemas.microsoft.com/office/drawing/2014/main" id="{00000000-0008-0000-0C00-000003020000}"/>
            </a:ext>
          </a:extLst>
        </xdr:cNvPr>
        <xdr:cNvSpPr>
          <a:spLocks noChangeShapeType="1"/>
        </xdr:cNvSpPr>
      </xdr:nvSpPr>
      <xdr:spPr bwMode="auto">
        <a:xfrm>
          <a:off x="2381250"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68</xdr:row>
      <xdr:rowOff>0</xdr:rowOff>
    </xdr:from>
    <xdr:to>
      <xdr:col>10</xdr:col>
      <xdr:colOff>9525</xdr:colOff>
      <xdr:row>68</xdr:row>
      <xdr:rowOff>0</xdr:rowOff>
    </xdr:to>
    <xdr:sp macro="" textlink="">
      <xdr:nvSpPr>
        <xdr:cNvPr id="516" name="Line 149">
          <a:extLst>
            <a:ext uri="{FF2B5EF4-FFF2-40B4-BE49-F238E27FC236}">
              <a16:creationId xmlns:a16="http://schemas.microsoft.com/office/drawing/2014/main" id="{00000000-0008-0000-0C00-000004020000}"/>
            </a:ext>
          </a:extLst>
        </xdr:cNvPr>
        <xdr:cNvSpPr>
          <a:spLocks noChangeShapeType="1"/>
        </xdr:cNvSpPr>
      </xdr:nvSpPr>
      <xdr:spPr bwMode="auto">
        <a:xfrm>
          <a:off x="3028950" y="84867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68</xdr:row>
      <xdr:rowOff>0</xdr:rowOff>
    </xdr:from>
    <xdr:to>
      <xdr:col>11</xdr:col>
      <xdr:colOff>9525</xdr:colOff>
      <xdr:row>68</xdr:row>
      <xdr:rowOff>0</xdr:rowOff>
    </xdr:to>
    <xdr:sp macro="" textlink="">
      <xdr:nvSpPr>
        <xdr:cNvPr id="517" name="Line 150">
          <a:extLst>
            <a:ext uri="{FF2B5EF4-FFF2-40B4-BE49-F238E27FC236}">
              <a16:creationId xmlns:a16="http://schemas.microsoft.com/office/drawing/2014/main" id="{00000000-0008-0000-0C00-000005020000}"/>
            </a:ext>
          </a:extLst>
        </xdr:cNvPr>
        <xdr:cNvSpPr>
          <a:spLocks noChangeShapeType="1"/>
        </xdr:cNvSpPr>
      </xdr:nvSpPr>
      <xdr:spPr bwMode="auto">
        <a:xfrm>
          <a:off x="3533775"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68</xdr:row>
      <xdr:rowOff>0</xdr:rowOff>
    </xdr:from>
    <xdr:to>
      <xdr:col>12</xdr:col>
      <xdr:colOff>9525</xdr:colOff>
      <xdr:row>68</xdr:row>
      <xdr:rowOff>0</xdr:rowOff>
    </xdr:to>
    <xdr:sp macro="" textlink="">
      <xdr:nvSpPr>
        <xdr:cNvPr id="518" name="Line 151">
          <a:extLst>
            <a:ext uri="{FF2B5EF4-FFF2-40B4-BE49-F238E27FC236}">
              <a16:creationId xmlns:a16="http://schemas.microsoft.com/office/drawing/2014/main" id="{00000000-0008-0000-0C00-000006020000}"/>
            </a:ext>
          </a:extLst>
        </xdr:cNvPr>
        <xdr:cNvSpPr>
          <a:spLocks noChangeShapeType="1"/>
        </xdr:cNvSpPr>
      </xdr:nvSpPr>
      <xdr:spPr bwMode="auto">
        <a:xfrm>
          <a:off x="4181475" y="84867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68</xdr:row>
      <xdr:rowOff>0</xdr:rowOff>
    </xdr:from>
    <xdr:to>
      <xdr:col>13</xdr:col>
      <xdr:colOff>9525</xdr:colOff>
      <xdr:row>68</xdr:row>
      <xdr:rowOff>0</xdr:rowOff>
    </xdr:to>
    <xdr:sp macro="" textlink="">
      <xdr:nvSpPr>
        <xdr:cNvPr id="519" name="Line 152">
          <a:extLst>
            <a:ext uri="{FF2B5EF4-FFF2-40B4-BE49-F238E27FC236}">
              <a16:creationId xmlns:a16="http://schemas.microsoft.com/office/drawing/2014/main" id="{00000000-0008-0000-0C00-000007020000}"/>
            </a:ext>
          </a:extLst>
        </xdr:cNvPr>
        <xdr:cNvSpPr>
          <a:spLocks noChangeShapeType="1"/>
        </xdr:cNvSpPr>
      </xdr:nvSpPr>
      <xdr:spPr bwMode="auto">
        <a:xfrm>
          <a:off x="4848225" y="84867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68</xdr:row>
      <xdr:rowOff>0</xdr:rowOff>
    </xdr:from>
    <xdr:to>
      <xdr:col>14</xdr:col>
      <xdr:colOff>9525</xdr:colOff>
      <xdr:row>68</xdr:row>
      <xdr:rowOff>0</xdr:rowOff>
    </xdr:to>
    <xdr:sp macro="" textlink="">
      <xdr:nvSpPr>
        <xdr:cNvPr id="520" name="Line 153">
          <a:extLst>
            <a:ext uri="{FF2B5EF4-FFF2-40B4-BE49-F238E27FC236}">
              <a16:creationId xmlns:a16="http://schemas.microsoft.com/office/drawing/2014/main" id="{00000000-0008-0000-0C00-000008020000}"/>
            </a:ext>
          </a:extLst>
        </xdr:cNvPr>
        <xdr:cNvSpPr>
          <a:spLocks noChangeShapeType="1"/>
        </xdr:cNvSpPr>
      </xdr:nvSpPr>
      <xdr:spPr bwMode="auto">
        <a:xfrm>
          <a:off x="5495925" y="84867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69</xdr:row>
      <xdr:rowOff>0</xdr:rowOff>
    </xdr:from>
    <xdr:to>
      <xdr:col>6</xdr:col>
      <xdr:colOff>9525</xdr:colOff>
      <xdr:row>69</xdr:row>
      <xdr:rowOff>0</xdr:rowOff>
    </xdr:to>
    <xdr:sp macro="" textlink="">
      <xdr:nvSpPr>
        <xdr:cNvPr id="521" name="Line 154">
          <a:extLst>
            <a:ext uri="{FF2B5EF4-FFF2-40B4-BE49-F238E27FC236}">
              <a16:creationId xmlns:a16="http://schemas.microsoft.com/office/drawing/2014/main" id="{00000000-0008-0000-0C00-000009020000}"/>
            </a:ext>
          </a:extLst>
        </xdr:cNvPr>
        <xdr:cNvSpPr>
          <a:spLocks noChangeShapeType="1"/>
        </xdr:cNvSpPr>
      </xdr:nvSpPr>
      <xdr:spPr bwMode="auto">
        <a:xfrm>
          <a:off x="495300" y="86201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69</xdr:row>
      <xdr:rowOff>0</xdr:rowOff>
    </xdr:from>
    <xdr:to>
      <xdr:col>7</xdr:col>
      <xdr:colOff>9525</xdr:colOff>
      <xdr:row>69</xdr:row>
      <xdr:rowOff>0</xdr:rowOff>
    </xdr:to>
    <xdr:sp macro="" textlink="">
      <xdr:nvSpPr>
        <xdr:cNvPr id="522" name="Line 155">
          <a:extLst>
            <a:ext uri="{FF2B5EF4-FFF2-40B4-BE49-F238E27FC236}">
              <a16:creationId xmlns:a16="http://schemas.microsoft.com/office/drawing/2014/main" id="{00000000-0008-0000-0C00-00000A020000}"/>
            </a:ext>
          </a:extLst>
        </xdr:cNvPr>
        <xdr:cNvSpPr>
          <a:spLocks noChangeShapeType="1"/>
        </xdr:cNvSpPr>
      </xdr:nvSpPr>
      <xdr:spPr bwMode="auto">
        <a:xfrm>
          <a:off x="1066800"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69</xdr:row>
      <xdr:rowOff>0</xdr:rowOff>
    </xdr:from>
    <xdr:to>
      <xdr:col>8</xdr:col>
      <xdr:colOff>9525</xdr:colOff>
      <xdr:row>69</xdr:row>
      <xdr:rowOff>0</xdr:rowOff>
    </xdr:to>
    <xdr:sp macro="" textlink="">
      <xdr:nvSpPr>
        <xdr:cNvPr id="523" name="Line 156">
          <a:extLst>
            <a:ext uri="{FF2B5EF4-FFF2-40B4-BE49-F238E27FC236}">
              <a16:creationId xmlns:a16="http://schemas.microsoft.com/office/drawing/2014/main" id="{00000000-0008-0000-0C00-00000B020000}"/>
            </a:ext>
          </a:extLst>
        </xdr:cNvPr>
        <xdr:cNvSpPr>
          <a:spLocks noChangeShapeType="1"/>
        </xdr:cNvSpPr>
      </xdr:nvSpPr>
      <xdr:spPr bwMode="auto">
        <a:xfrm>
          <a:off x="1714500" y="8620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69</xdr:row>
      <xdr:rowOff>0</xdr:rowOff>
    </xdr:from>
    <xdr:to>
      <xdr:col>9</xdr:col>
      <xdr:colOff>9525</xdr:colOff>
      <xdr:row>69</xdr:row>
      <xdr:rowOff>0</xdr:rowOff>
    </xdr:to>
    <xdr:sp macro="" textlink="">
      <xdr:nvSpPr>
        <xdr:cNvPr id="524" name="Line 157">
          <a:extLst>
            <a:ext uri="{FF2B5EF4-FFF2-40B4-BE49-F238E27FC236}">
              <a16:creationId xmlns:a16="http://schemas.microsoft.com/office/drawing/2014/main" id="{00000000-0008-0000-0C00-00000C020000}"/>
            </a:ext>
          </a:extLst>
        </xdr:cNvPr>
        <xdr:cNvSpPr>
          <a:spLocks noChangeShapeType="1"/>
        </xdr:cNvSpPr>
      </xdr:nvSpPr>
      <xdr:spPr bwMode="auto">
        <a:xfrm>
          <a:off x="2381250"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69</xdr:row>
      <xdr:rowOff>0</xdr:rowOff>
    </xdr:from>
    <xdr:to>
      <xdr:col>10</xdr:col>
      <xdr:colOff>9525</xdr:colOff>
      <xdr:row>69</xdr:row>
      <xdr:rowOff>0</xdr:rowOff>
    </xdr:to>
    <xdr:sp macro="" textlink="">
      <xdr:nvSpPr>
        <xdr:cNvPr id="525" name="Line 158">
          <a:extLst>
            <a:ext uri="{FF2B5EF4-FFF2-40B4-BE49-F238E27FC236}">
              <a16:creationId xmlns:a16="http://schemas.microsoft.com/office/drawing/2014/main" id="{00000000-0008-0000-0C00-00000D020000}"/>
            </a:ext>
          </a:extLst>
        </xdr:cNvPr>
        <xdr:cNvSpPr>
          <a:spLocks noChangeShapeType="1"/>
        </xdr:cNvSpPr>
      </xdr:nvSpPr>
      <xdr:spPr bwMode="auto">
        <a:xfrm>
          <a:off x="3028950" y="86201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69</xdr:row>
      <xdr:rowOff>0</xdr:rowOff>
    </xdr:from>
    <xdr:to>
      <xdr:col>11</xdr:col>
      <xdr:colOff>9525</xdr:colOff>
      <xdr:row>69</xdr:row>
      <xdr:rowOff>0</xdr:rowOff>
    </xdr:to>
    <xdr:sp macro="" textlink="">
      <xdr:nvSpPr>
        <xdr:cNvPr id="526" name="Line 159">
          <a:extLst>
            <a:ext uri="{FF2B5EF4-FFF2-40B4-BE49-F238E27FC236}">
              <a16:creationId xmlns:a16="http://schemas.microsoft.com/office/drawing/2014/main" id="{00000000-0008-0000-0C00-00000E020000}"/>
            </a:ext>
          </a:extLst>
        </xdr:cNvPr>
        <xdr:cNvSpPr>
          <a:spLocks noChangeShapeType="1"/>
        </xdr:cNvSpPr>
      </xdr:nvSpPr>
      <xdr:spPr bwMode="auto">
        <a:xfrm>
          <a:off x="3533775"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69</xdr:row>
      <xdr:rowOff>0</xdr:rowOff>
    </xdr:from>
    <xdr:to>
      <xdr:col>12</xdr:col>
      <xdr:colOff>9525</xdr:colOff>
      <xdr:row>69</xdr:row>
      <xdr:rowOff>0</xdr:rowOff>
    </xdr:to>
    <xdr:sp macro="" textlink="">
      <xdr:nvSpPr>
        <xdr:cNvPr id="527" name="Line 160">
          <a:extLst>
            <a:ext uri="{FF2B5EF4-FFF2-40B4-BE49-F238E27FC236}">
              <a16:creationId xmlns:a16="http://schemas.microsoft.com/office/drawing/2014/main" id="{00000000-0008-0000-0C00-00000F020000}"/>
            </a:ext>
          </a:extLst>
        </xdr:cNvPr>
        <xdr:cNvSpPr>
          <a:spLocks noChangeShapeType="1"/>
        </xdr:cNvSpPr>
      </xdr:nvSpPr>
      <xdr:spPr bwMode="auto">
        <a:xfrm>
          <a:off x="4181475" y="86201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69</xdr:row>
      <xdr:rowOff>0</xdr:rowOff>
    </xdr:from>
    <xdr:to>
      <xdr:col>13</xdr:col>
      <xdr:colOff>9525</xdr:colOff>
      <xdr:row>69</xdr:row>
      <xdr:rowOff>0</xdr:rowOff>
    </xdr:to>
    <xdr:sp macro="" textlink="">
      <xdr:nvSpPr>
        <xdr:cNvPr id="528" name="Line 161">
          <a:extLst>
            <a:ext uri="{FF2B5EF4-FFF2-40B4-BE49-F238E27FC236}">
              <a16:creationId xmlns:a16="http://schemas.microsoft.com/office/drawing/2014/main" id="{00000000-0008-0000-0C00-000010020000}"/>
            </a:ext>
          </a:extLst>
        </xdr:cNvPr>
        <xdr:cNvSpPr>
          <a:spLocks noChangeShapeType="1"/>
        </xdr:cNvSpPr>
      </xdr:nvSpPr>
      <xdr:spPr bwMode="auto">
        <a:xfrm>
          <a:off x="4848225" y="86201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69</xdr:row>
      <xdr:rowOff>0</xdr:rowOff>
    </xdr:from>
    <xdr:to>
      <xdr:col>14</xdr:col>
      <xdr:colOff>9525</xdr:colOff>
      <xdr:row>69</xdr:row>
      <xdr:rowOff>0</xdr:rowOff>
    </xdr:to>
    <xdr:sp macro="" textlink="">
      <xdr:nvSpPr>
        <xdr:cNvPr id="529" name="Line 162">
          <a:extLst>
            <a:ext uri="{FF2B5EF4-FFF2-40B4-BE49-F238E27FC236}">
              <a16:creationId xmlns:a16="http://schemas.microsoft.com/office/drawing/2014/main" id="{00000000-0008-0000-0C00-000011020000}"/>
            </a:ext>
          </a:extLst>
        </xdr:cNvPr>
        <xdr:cNvSpPr>
          <a:spLocks noChangeShapeType="1"/>
        </xdr:cNvSpPr>
      </xdr:nvSpPr>
      <xdr:spPr bwMode="auto">
        <a:xfrm>
          <a:off x="5495925" y="86201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70</xdr:row>
      <xdr:rowOff>0</xdr:rowOff>
    </xdr:from>
    <xdr:to>
      <xdr:col>6</xdr:col>
      <xdr:colOff>9525</xdr:colOff>
      <xdr:row>70</xdr:row>
      <xdr:rowOff>0</xdr:rowOff>
    </xdr:to>
    <xdr:sp macro="" textlink="">
      <xdr:nvSpPr>
        <xdr:cNvPr id="530" name="Line 163">
          <a:extLst>
            <a:ext uri="{FF2B5EF4-FFF2-40B4-BE49-F238E27FC236}">
              <a16:creationId xmlns:a16="http://schemas.microsoft.com/office/drawing/2014/main" id="{00000000-0008-0000-0C00-000012020000}"/>
            </a:ext>
          </a:extLst>
        </xdr:cNvPr>
        <xdr:cNvSpPr>
          <a:spLocks noChangeShapeType="1"/>
        </xdr:cNvSpPr>
      </xdr:nvSpPr>
      <xdr:spPr bwMode="auto">
        <a:xfrm>
          <a:off x="495300" y="87534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70</xdr:row>
      <xdr:rowOff>0</xdr:rowOff>
    </xdr:from>
    <xdr:to>
      <xdr:col>7</xdr:col>
      <xdr:colOff>9525</xdr:colOff>
      <xdr:row>70</xdr:row>
      <xdr:rowOff>0</xdr:rowOff>
    </xdr:to>
    <xdr:sp macro="" textlink="">
      <xdr:nvSpPr>
        <xdr:cNvPr id="531" name="Line 164">
          <a:extLst>
            <a:ext uri="{FF2B5EF4-FFF2-40B4-BE49-F238E27FC236}">
              <a16:creationId xmlns:a16="http://schemas.microsoft.com/office/drawing/2014/main" id="{00000000-0008-0000-0C00-000013020000}"/>
            </a:ext>
          </a:extLst>
        </xdr:cNvPr>
        <xdr:cNvSpPr>
          <a:spLocks noChangeShapeType="1"/>
        </xdr:cNvSpPr>
      </xdr:nvSpPr>
      <xdr:spPr bwMode="auto">
        <a:xfrm>
          <a:off x="1066800"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70</xdr:row>
      <xdr:rowOff>0</xdr:rowOff>
    </xdr:from>
    <xdr:to>
      <xdr:col>8</xdr:col>
      <xdr:colOff>9525</xdr:colOff>
      <xdr:row>70</xdr:row>
      <xdr:rowOff>0</xdr:rowOff>
    </xdr:to>
    <xdr:sp macro="" textlink="">
      <xdr:nvSpPr>
        <xdr:cNvPr id="532" name="Line 165">
          <a:extLst>
            <a:ext uri="{FF2B5EF4-FFF2-40B4-BE49-F238E27FC236}">
              <a16:creationId xmlns:a16="http://schemas.microsoft.com/office/drawing/2014/main" id="{00000000-0008-0000-0C00-000014020000}"/>
            </a:ext>
          </a:extLst>
        </xdr:cNvPr>
        <xdr:cNvSpPr>
          <a:spLocks noChangeShapeType="1"/>
        </xdr:cNvSpPr>
      </xdr:nvSpPr>
      <xdr:spPr bwMode="auto">
        <a:xfrm>
          <a:off x="1714500" y="8753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70</xdr:row>
      <xdr:rowOff>0</xdr:rowOff>
    </xdr:from>
    <xdr:to>
      <xdr:col>9</xdr:col>
      <xdr:colOff>9525</xdr:colOff>
      <xdr:row>70</xdr:row>
      <xdr:rowOff>0</xdr:rowOff>
    </xdr:to>
    <xdr:sp macro="" textlink="">
      <xdr:nvSpPr>
        <xdr:cNvPr id="533" name="Line 166">
          <a:extLst>
            <a:ext uri="{FF2B5EF4-FFF2-40B4-BE49-F238E27FC236}">
              <a16:creationId xmlns:a16="http://schemas.microsoft.com/office/drawing/2014/main" id="{00000000-0008-0000-0C00-000015020000}"/>
            </a:ext>
          </a:extLst>
        </xdr:cNvPr>
        <xdr:cNvSpPr>
          <a:spLocks noChangeShapeType="1"/>
        </xdr:cNvSpPr>
      </xdr:nvSpPr>
      <xdr:spPr bwMode="auto">
        <a:xfrm>
          <a:off x="2381250"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70</xdr:row>
      <xdr:rowOff>0</xdr:rowOff>
    </xdr:from>
    <xdr:to>
      <xdr:col>10</xdr:col>
      <xdr:colOff>9525</xdr:colOff>
      <xdr:row>70</xdr:row>
      <xdr:rowOff>0</xdr:rowOff>
    </xdr:to>
    <xdr:sp macro="" textlink="">
      <xdr:nvSpPr>
        <xdr:cNvPr id="534" name="Line 167">
          <a:extLst>
            <a:ext uri="{FF2B5EF4-FFF2-40B4-BE49-F238E27FC236}">
              <a16:creationId xmlns:a16="http://schemas.microsoft.com/office/drawing/2014/main" id="{00000000-0008-0000-0C00-000016020000}"/>
            </a:ext>
          </a:extLst>
        </xdr:cNvPr>
        <xdr:cNvSpPr>
          <a:spLocks noChangeShapeType="1"/>
        </xdr:cNvSpPr>
      </xdr:nvSpPr>
      <xdr:spPr bwMode="auto">
        <a:xfrm>
          <a:off x="3028950" y="87534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70</xdr:row>
      <xdr:rowOff>0</xdr:rowOff>
    </xdr:from>
    <xdr:to>
      <xdr:col>11</xdr:col>
      <xdr:colOff>9525</xdr:colOff>
      <xdr:row>70</xdr:row>
      <xdr:rowOff>0</xdr:rowOff>
    </xdr:to>
    <xdr:sp macro="" textlink="">
      <xdr:nvSpPr>
        <xdr:cNvPr id="535" name="Line 168">
          <a:extLst>
            <a:ext uri="{FF2B5EF4-FFF2-40B4-BE49-F238E27FC236}">
              <a16:creationId xmlns:a16="http://schemas.microsoft.com/office/drawing/2014/main" id="{00000000-0008-0000-0C00-000017020000}"/>
            </a:ext>
          </a:extLst>
        </xdr:cNvPr>
        <xdr:cNvSpPr>
          <a:spLocks noChangeShapeType="1"/>
        </xdr:cNvSpPr>
      </xdr:nvSpPr>
      <xdr:spPr bwMode="auto">
        <a:xfrm>
          <a:off x="3533775"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70</xdr:row>
      <xdr:rowOff>0</xdr:rowOff>
    </xdr:from>
    <xdr:to>
      <xdr:col>12</xdr:col>
      <xdr:colOff>9525</xdr:colOff>
      <xdr:row>70</xdr:row>
      <xdr:rowOff>0</xdr:rowOff>
    </xdr:to>
    <xdr:sp macro="" textlink="">
      <xdr:nvSpPr>
        <xdr:cNvPr id="536" name="Line 169">
          <a:extLst>
            <a:ext uri="{FF2B5EF4-FFF2-40B4-BE49-F238E27FC236}">
              <a16:creationId xmlns:a16="http://schemas.microsoft.com/office/drawing/2014/main" id="{00000000-0008-0000-0C00-000018020000}"/>
            </a:ext>
          </a:extLst>
        </xdr:cNvPr>
        <xdr:cNvSpPr>
          <a:spLocks noChangeShapeType="1"/>
        </xdr:cNvSpPr>
      </xdr:nvSpPr>
      <xdr:spPr bwMode="auto">
        <a:xfrm>
          <a:off x="4181475" y="87534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70</xdr:row>
      <xdr:rowOff>0</xdr:rowOff>
    </xdr:from>
    <xdr:to>
      <xdr:col>13</xdr:col>
      <xdr:colOff>9525</xdr:colOff>
      <xdr:row>70</xdr:row>
      <xdr:rowOff>0</xdr:rowOff>
    </xdr:to>
    <xdr:sp macro="" textlink="">
      <xdr:nvSpPr>
        <xdr:cNvPr id="537" name="Line 170">
          <a:extLst>
            <a:ext uri="{FF2B5EF4-FFF2-40B4-BE49-F238E27FC236}">
              <a16:creationId xmlns:a16="http://schemas.microsoft.com/office/drawing/2014/main" id="{00000000-0008-0000-0C00-000019020000}"/>
            </a:ext>
          </a:extLst>
        </xdr:cNvPr>
        <xdr:cNvSpPr>
          <a:spLocks noChangeShapeType="1"/>
        </xdr:cNvSpPr>
      </xdr:nvSpPr>
      <xdr:spPr bwMode="auto">
        <a:xfrm>
          <a:off x="4848225" y="87534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70</xdr:row>
      <xdr:rowOff>0</xdr:rowOff>
    </xdr:from>
    <xdr:to>
      <xdr:col>14</xdr:col>
      <xdr:colOff>9525</xdr:colOff>
      <xdr:row>70</xdr:row>
      <xdr:rowOff>0</xdr:rowOff>
    </xdr:to>
    <xdr:sp macro="" textlink="">
      <xdr:nvSpPr>
        <xdr:cNvPr id="538" name="Line 171">
          <a:extLst>
            <a:ext uri="{FF2B5EF4-FFF2-40B4-BE49-F238E27FC236}">
              <a16:creationId xmlns:a16="http://schemas.microsoft.com/office/drawing/2014/main" id="{00000000-0008-0000-0C00-00001A020000}"/>
            </a:ext>
          </a:extLst>
        </xdr:cNvPr>
        <xdr:cNvSpPr>
          <a:spLocks noChangeShapeType="1"/>
        </xdr:cNvSpPr>
      </xdr:nvSpPr>
      <xdr:spPr bwMode="auto">
        <a:xfrm>
          <a:off x="5495925" y="87534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71</xdr:row>
      <xdr:rowOff>0</xdr:rowOff>
    </xdr:from>
    <xdr:to>
      <xdr:col>6</xdr:col>
      <xdr:colOff>9525</xdr:colOff>
      <xdr:row>71</xdr:row>
      <xdr:rowOff>0</xdr:rowOff>
    </xdr:to>
    <xdr:sp macro="" textlink="">
      <xdr:nvSpPr>
        <xdr:cNvPr id="539" name="Line 172">
          <a:extLst>
            <a:ext uri="{FF2B5EF4-FFF2-40B4-BE49-F238E27FC236}">
              <a16:creationId xmlns:a16="http://schemas.microsoft.com/office/drawing/2014/main" id="{00000000-0008-0000-0C00-00001B020000}"/>
            </a:ext>
          </a:extLst>
        </xdr:cNvPr>
        <xdr:cNvSpPr>
          <a:spLocks noChangeShapeType="1"/>
        </xdr:cNvSpPr>
      </xdr:nvSpPr>
      <xdr:spPr bwMode="auto">
        <a:xfrm>
          <a:off x="495300" y="888682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71</xdr:row>
      <xdr:rowOff>0</xdr:rowOff>
    </xdr:from>
    <xdr:to>
      <xdr:col>7</xdr:col>
      <xdr:colOff>9525</xdr:colOff>
      <xdr:row>71</xdr:row>
      <xdr:rowOff>0</xdr:rowOff>
    </xdr:to>
    <xdr:sp macro="" textlink="">
      <xdr:nvSpPr>
        <xdr:cNvPr id="540" name="Line 173">
          <a:extLst>
            <a:ext uri="{FF2B5EF4-FFF2-40B4-BE49-F238E27FC236}">
              <a16:creationId xmlns:a16="http://schemas.microsoft.com/office/drawing/2014/main" id="{00000000-0008-0000-0C00-00001C020000}"/>
            </a:ext>
          </a:extLst>
        </xdr:cNvPr>
        <xdr:cNvSpPr>
          <a:spLocks noChangeShapeType="1"/>
        </xdr:cNvSpPr>
      </xdr:nvSpPr>
      <xdr:spPr bwMode="auto">
        <a:xfrm>
          <a:off x="1066800"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71</xdr:row>
      <xdr:rowOff>0</xdr:rowOff>
    </xdr:from>
    <xdr:to>
      <xdr:col>8</xdr:col>
      <xdr:colOff>9525</xdr:colOff>
      <xdr:row>71</xdr:row>
      <xdr:rowOff>0</xdr:rowOff>
    </xdr:to>
    <xdr:sp macro="" textlink="">
      <xdr:nvSpPr>
        <xdr:cNvPr id="541" name="Line 174">
          <a:extLst>
            <a:ext uri="{FF2B5EF4-FFF2-40B4-BE49-F238E27FC236}">
              <a16:creationId xmlns:a16="http://schemas.microsoft.com/office/drawing/2014/main" id="{00000000-0008-0000-0C00-00001D020000}"/>
            </a:ext>
          </a:extLst>
        </xdr:cNvPr>
        <xdr:cNvSpPr>
          <a:spLocks noChangeShapeType="1"/>
        </xdr:cNvSpPr>
      </xdr:nvSpPr>
      <xdr:spPr bwMode="auto">
        <a:xfrm>
          <a:off x="1714500" y="8886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71</xdr:row>
      <xdr:rowOff>0</xdr:rowOff>
    </xdr:from>
    <xdr:to>
      <xdr:col>9</xdr:col>
      <xdr:colOff>9525</xdr:colOff>
      <xdr:row>71</xdr:row>
      <xdr:rowOff>0</xdr:rowOff>
    </xdr:to>
    <xdr:sp macro="" textlink="">
      <xdr:nvSpPr>
        <xdr:cNvPr id="542" name="Line 175">
          <a:extLst>
            <a:ext uri="{FF2B5EF4-FFF2-40B4-BE49-F238E27FC236}">
              <a16:creationId xmlns:a16="http://schemas.microsoft.com/office/drawing/2014/main" id="{00000000-0008-0000-0C00-00001E020000}"/>
            </a:ext>
          </a:extLst>
        </xdr:cNvPr>
        <xdr:cNvSpPr>
          <a:spLocks noChangeShapeType="1"/>
        </xdr:cNvSpPr>
      </xdr:nvSpPr>
      <xdr:spPr bwMode="auto">
        <a:xfrm>
          <a:off x="2381250"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71</xdr:row>
      <xdr:rowOff>0</xdr:rowOff>
    </xdr:from>
    <xdr:to>
      <xdr:col>10</xdr:col>
      <xdr:colOff>9525</xdr:colOff>
      <xdr:row>71</xdr:row>
      <xdr:rowOff>0</xdr:rowOff>
    </xdr:to>
    <xdr:sp macro="" textlink="">
      <xdr:nvSpPr>
        <xdr:cNvPr id="543" name="Line 176">
          <a:extLst>
            <a:ext uri="{FF2B5EF4-FFF2-40B4-BE49-F238E27FC236}">
              <a16:creationId xmlns:a16="http://schemas.microsoft.com/office/drawing/2014/main" id="{00000000-0008-0000-0C00-00001F020000}"/>
            </a:ext>
          </a:extLst>
        </xdr:cNvPr>
        <xdr:cNvSpPr>
          <a:spLocks noChangeShapeType="1"/>
        </xdr:cNvSpPr>
      </xdr:nvSpPr>
      <xdr:spPr bwMode="auto">
        <a:xfrm>
          <a:off x="3028950" y="888682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71</xdr:row>
      <xdr:rowOff>0</xdr:rowOff>
    </xdr:from>
    <xdr:to>
      <xdr:col>11</xdr:col>
      <xdr:colOff>9525</xdr:colOff>
      <xdr:row>71</xdr:row>
      <xdr:rowOff>0</xdr:rowOff>
    </xdr:to>
    <xdr:sp macro="" textlink="">
      <xdr:nvSpPr>
        <xdr:cNvPr id="544" name="Line 177">
          <a:extLst>
            <a:ext uri="{FF2B5EF4-FFF2-40B4-BE49-F238E27FC236}">
              <a16:creationId xmlns:a16="http://schemas.microsoft.com/office/drawing/2014/main" id="{00000000-0008-0000-0C00-000020020000}"/>
            </a:ext>
          </a:extLst>
        </xdr:cNvPr>
        <xdr:cNvSpPr>
          <a:spLocks noChangeShapeType="1"/>
        </xdr:cNvSpPr>
      </xdr:nvSpPr>
      <xdr:spPr bwMode="auto">
        <a:xfrm>
          <a:off x="3533775"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71</xdr:row>
      <xdr:rowOff>0</xdr:rowOff>
    </xdr:from>
    <xdr:to>
      <xdr:col>12</xdr:col>
      <xdr:colOff>9525</xdr:colOff>
      <xdr:row>71</xdr:row>
      <xdr:rowOff>0</xdr:rowOff>
    </xdr:to>
    <xdr:sp macro="" textlink="">
      <xdr:nvSpPr>
        <xdr:cNvPr id="545" name="Line 178">
          <a:extLst>
            <a:ext uri="{FF2B5EF4-FFF2-40B4-BE49-F238E27FC236}">
              <a16:creationId xmlns:a16="http://schemas.microsoft.com/office/drawing/2014/main" id="{00000000-0008-0000-0C00-000021020000}"/>
            </a:ext>
          </a:extLst>
        </xdr:cNvPr>
        <xdr:cNvSpPr>
          <a:spLocks noChangeShapeType="1"/>
        </xdr:cNvSpPr>
      </xdr:nvSpPr>
      <xdr:spPr bwMode="auto">
        <a:xfrm>
          <a:off x="4181475" y="888682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71</xdr:row>
      <xdr:rowOff>0</xdr:rowOff>
    </xdr:from>
    <xdr:to>
      <xdr:col>13</xdr:col>
      <xdr:colOff>9525</xdr:colOff>
      <xdr:row>71</xdr:row>
      <xdr:rowOff>0</xdr:rowOff>
    </xdr:to>
    <xdr:sp macro="" textlink="">
      <xdr:nvSpPr>
        <xdr:cNvPr id="546" name="Line 179">
          <a:extLst>
            <a:ext uri="{FF2B5EF4-FFF2-40B4-BE49-F238E27FC236}">
              <a16:creationId xmlns:a16="http://schemas.microsoft.com/office/drawing/2014/main" id="{00000000-0008-0000-0C00-000022020000}"/>
            </a:ext>
          </a:extLst>
        </xdr:cNvPr>
        <xdr:cNvSpPr>
          <a:spLocks noChangeShapeType="1"/>
        </xdr:cNvSpPr>
      </xdr:nvSpPr>
      <xdr:spPr bwMode="auto">
        <a:xfrm>
          <a:off x="4848225" y="888682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71</xdr:row>
      <xdr:rowOff>0</xdr:rowOff>
    </xdr:from>
    <xdr:to>
      <xdr:col>14</xdr:col>
      <xdr:colOff>9525</xdr:colOff>
      <xdr:row>71</xdr:row>
      <xdr:rowOff>0</xdr:rowOff>
    </xdr:to>
    <xdr:sp macro="" textlink="">
      <xdr:nvSpPr>
        <xdr:cNvPr id="547" name="Line 180">
          <a:extLst>
            <a:ext uri="{FF2B5EF4-FFF2-40B4-BE49-F238E27FC236}">
              <a16:creationId xmlns:a16="http://schemas.microsoft.com/office/drawing/2014/main" id="{00000000-0008-0000-0C00-000023020000}"/>
            </a:ext>
          </a:extLst>
        </xdr:cNvPr>
        <xdr:cNvSpPr>
          <a:spLocks noChangeShapeType="1"/>
        </xdr:cNvSpPr>
      </xdr:nvSpPr>
      <xdr:spPr bwMode="auto">
        <a:xfrm>
          <a:off x="5495925" y="888682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74</xdr:row>
      <xdr:rowOff>0</xdr:rowOff>
    </xdr:from>
    <xdr:to>
      <xdr:col>6</xdr:col>
      <xdr:colOff>9525</xdr:colOff>
      <xdr:row>74</xdr:row>
      <xdr:rowOff>0</xdr:rowOff>
    </xdr:to>
    <xdr:sp macro="" textlink="">
      <xdr:nvSpPr>
        <xdr:cNvPr id="548" name="Line 181">
          <a:extLst>
            <a:ext uri="{FF2B5EF4-FFF2-40B4-BE49-F238E27FC236}">
              <a16:creationId xmlns:a16="http://schemas.microsoft.com/office/drawing/2014/main" id="{00000000-0008-0000-0C00-000024020000}"/>
            </a:ext>
          </a:extLst>
        </xdr:cNvPr>
        <xdr:cNvSpPr>
          <a:spLocks noChangeShapeType="1"/>
        </xdr:cNvSpPr>
      </xdr:nvSpPr>
      <xdr:spPr bwMode="auto">
        <a:xfrm>
          <a:off x="495300" y="9286875"/>
          <a:ext cx="5715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74</xdr:row>
      <xdr:rowOff>0</xdr:rowOff>
    </xdr:from>
    <xdr:to>
      <xdr:col>7</xdr:col>
      <xdr:colOff>9525</xdr:colOff>
      <xdr:row>74</xdr:row>
      <xdr:rowOff>0</xdr:rowOff>
    </xdr:to>
    <xdr:sp macro="" textlink="">
      <xdr:nvSpPr>
        <xdr:cNvPr id="549" name="Line 182">
          <a:extLst>
            <a:ext uri="{FF2B5EF4-FFF2-40B4-BE49-F238E27FC236}">
              <a16:creationId xmlns:a16="http://schemas.microsoft.com/office/drawing/2014/main" id="{00000000-0008-0000-0C00-000025020000}"/>
            </a:ext>
          </a:extLst>
        </xdr:cNvPr>
        <xdr:cNvSpPr>
          <a:spLocks noChangeShapeType="1"/>
        </xdr:cNvSpPr>
      </xdr:nvSpPr>
      <xdr:spPr bwMode="auto">
        <a:xfrm>
          <a:off x="1066800"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74</xdr:row>
      <xdr:rowOff>0</xdr:rowOff>
    </xdr:from>
    <xdr:to>
      <xdr:col>8</xdr:col>
      <xdr:colOff>9525</xdr:colOff>
      <xdr:row>74</xdr:row>
      <xdr:rowOff>0</xdr:rowOff>
    </xdr:to>
    <xdr:sp macro="" textlink="">
      <xdr:nvSpPr>
        <xdr:cNvPr id="550" name="Line 183">
          <a:extLst>
            <a:ext uri="{FF2B5EF4-FFF2-40B4-BE49-F238E27FC236}">
              <a16:creationId xmlns:a16="http://schemas.microsoft.com/office/drawing/2014/main" id="{00000000-0008-0000-0C00-000026020000}"/>
            </a:ext>
          </a:extLst>
        </xdr:cNvPr>
        <xdr:cNvSpPr>
          <a:spLocks noChangeShapeType="1"/>
        </xdr:cNvSpPr>
      </xdr:nvSpPr>
      <xdr:spPr bwMode="auto">
        <a:xfrm>
          <a:off x="1714500" y="9286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74</xdr:row>
      <xdr:rowOff>0</xdr:rowOff>
    </xdr:from>
    <xdr:to>
      <xdr:col>9</xdr:col>
      <xdr:colOff>9525</xdr:colOff>
      <xdr:row>74</xdr:row>
      <xdr:rowOff>0</xdr:rowOff>
    </xdr:to>
    <xdr:sp macro="" textlink="">
      <xdr:nvSpPr>
        <xdr:cNvPr id="551" name="Line 184">
          <a:extLst>
            <a:ext uri="{FF2B5EF4-FFF2-40B4-BE49-F238E27FC236}">
              <a16:creationId xmlns:a16="http://schemas.microsoft.com/office/drawing/2014/main" id="{00000000-0008-0000-0C00-000027020000}"/>
            </a:ext>
          </a:extLst>
        </xdr:cNvPr>
        <xdr:cNvSpPr>
          <a:spLocks noChangeShapeType="1"/>
        </xdr:cNvSpPr>
      </xdr:nvSpPr>
      <xdr:spPr bwMode="auto">
        <a:xfrm>
          <a:off x="2381250"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74</xdr:row>
      <xdr:rowOff>0</xdr:rowOff>
    </xdr:from>
    <xdr:to>
      <xdr:col>10</xdr:col>
      <xdr:colOff>9525</xdr:colOff>
      <xdr:row>74</xdr:row>
      <xdr:rowOff>0</xdr:rowOff>
    </xdr:to>
    <xdr:sp macro="" textlink="">
      <xdr:nvSpPr>
        <xdr:cNvPr id="552" name="Line 185">
          <a:extLst>
            <a:ext uri="{FF2B5EF4-FFF2-40B4-BE49-F238E27FC236}">
              <a16:creationId xmlns:a16="http://schemas.microsoft.com/office/drawing/2014/main" id="{00000000-0008-0000-0C00-000028020000}"/>
            </a:ext>
          </a:extLst>
        </xdr:cNvPr>
        <xdr:cNvSpPr>
          <a:spLocks noChangeShapeType="1"/>
        </xdr:cNvSpPr>
      </xdr:nvSpPr>
      <xdr:spPr bwMode="auto">
        <a:xfrm>
          <a:off x="3028950" y="9286875"/>
          <a:ext cx="5048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74</xdr:row>
      <xdr:rowOff>0</xdr:rowOff>
    </xdr:from>
    <xdr:to>
      <xdr:col>11</xdr:col>
      <xdr:colOff>9525</xdr:colOff>
      <xdr:row>74</xdr:row>
      <xdr:rowOff>0</xdr:rowOff>
    </xdr:to>
    <xdr:sp macro="" textlink="">
      <xdr:nvSpPr>
        <xdr:cNvPr id="553" name="Line 186">
          <a:extLst>
            <a:ext uri="{FF2B5EF4-FFF2-40B4-BE49-F238E27FC236}">
              <a16:creationId xmlns:a16="http://schemas.microsoft.com/office/drawing/2014/main" id="{00000000-0008-0000-0C00-000029020000}"/>
            </a:ext>
          </a:extLst>
        </xdr:cNvPr>
        <xdr:cNvSpPr>
          <a:spLocks noChangeShapeType="1"/>
        </xdr:cNvSpPr>
      </xdr:nvSpPr>
      <xdr:spPr bwMode="auto">
        <a:xfrm>
          <a:off x="3533775"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74</xdr:row>
      <xdr:rowOff>0</xdr:rowOff>
    </xdr:from>
    <xdr:to>
      <xdr:col>12</xdr:col>
      <xdr:colOff>9525</xdr:colOff>
      <xdr:row>74</xdr:row>
      <xdr:rowOff>0</xdr:rowOff>
    </xdr:to>
    <xdr:sp macro="" textlink="">
      <xdr:nvSpPr>
        <xdr:cNvPr id="554" name="Line 187">
          <a:extLst>
            <a:ext uri="{FF2B5EF4-FFF2-40B4-BE49-F238E27FC236}">
              <a16:creationId xmlns:a16="http://schemas.microsoft.com/office/drawing/2014/main" id="{00000000-0008-0000-0C00-00002A020000}"/>
            </a:ext>
          </a:extLst>
        </xdr:cNvPr>
        <xdr:cNvSpPr>
          <a:spLocks noChangeShapeType="1"/>
        </xdr:cNvSpPr>
      </xdr:nvSpPr>
      <xdr:spPr bwMode="auto">
        <a:xfrm>
          <a:off x="4181475" y="9286875"/>
          <a:ext cx="66675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74</xdr:row>
      <xdr:rowOff>0</xdr:rowOff>
    </xdr:from>
    <xdr:to>
      <xdr:col>13</xdr:col>
      <xdr:colOff>9525</xdr:colOff>
      <xdr:row>74</xdr:row>
      <xdr:rowOff>0</xdr:rowOff>
    </xdr:to>
    <xdr:sp macro="" textlink="">
      <xdr:nvSpPr>
        <xdr:cNvPr id="555" name="Line 188">
          <a:extLst>
            <a:ext uri="{FF2B5EF4-FFF2-40B4-BE49-F238E27FC236}">
              <a16:creationId xmlns:a16="http://schemas.microsoft.com/office/drawing/2014/main" id="{00000000-0008-0000-0C00-00002B020000}"/>
            </a:ext>
          </a:extLst>
        </xdr:cNvPr>
        <xdr:cNvSpPr>
          <a:spLocks noChangeShapeType="1"/>
        </xdr:cNvSpPr>
      </xdr:nvSpPr>
      <xdr:spPr bwMode="auto">
        <a:xfrm>
          <a:off x="4848225" y="9286875"/>
          <a:ext cx="6477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74</xdr:row>
      <xdr:rowOff>0</xdr:rowOff>
    </xdr:from>
    <xdr:to>
      <xdr:col>14</xdr:col>
      <xdr:colOff>9525</xdr:colOff>
      <xdr:row>74</xdr:row>
      <xdr:rowOff>0</xdr:rowOff>
    </xdr:to>
    <xdr:sp macro="" textlink="">
      <xdr:nvSpPr>
        <xdr:cNvPr id="556" name="Line 189">
          <a:extLst>
            <a:ext uri="{FF2B5EF4-FFF2-40B4-BE49-F238E27FC236}">
              <a16:creationId xmlns:a16="http://schemas.microsoft.com/office/drawing/2014/main" id="{00000000-0008-0000-0C00-00002C020000}"/>
            </a:ext>
          </a:extLst>
        </xdr:cNvPr>
        <xdr:cNvSpPr>
          <a:spLocks noChangeShapeType="1"/>
        </xdr:cNvSpPr>
      </xdr:nvSpPr>
      <xdr:spPr bwMode="auto">
        <a:xfrm>
          <a:off x="5495925" y="9286875"/>
          <a:ext cx="695325"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9525</xdr:colOff>
      <xdr:row>75</xdr:row>
      <xdr:rowOff>0</xdr:rowOff>
    </xdr:from>
    <xdr:to>
      <xdr:col>6</xdr:col>
      <xdr:colOff>9525</xdr:colOff>
      <xdr:row>75</xdr:row>
      <xdr:rowOff>0</xdr:rowOff>
    </xdr:to>
    <xdr:sp macro="" textlink="">
      <xdr:nvSpPr>
        <xdr:cNvPr id="557" name="Line 190">
          <a:extLst>
            <a:ext uri="{FF2B5EF4-FFF2-40B4-BE49-F238E27FC236}">
              <a16:creationId xmlns:a16="http://schemas.microsoft.com/office/drawing/2014/main" id="{00000000-0008-0000-0C00-00002D020000}"/>
            </a:ext>
          </a:extLst>
        </xdr:cNvPr>
        <xdr:cNvSpPr>
          <a:spLocks noChangeShapeType="1"/>
        </xdr:cNvSpPr>
      </xdr:nvSpPr>
      <xdr:spPr bwMode="auto">
        <a:xfrm>
          <a:off x="495300" y="9420225"/>
          <a:ext cx="5715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9525</xdr:colOff>
      <xdr:row>75</xdr:row>
      <xdr:rowOff>0</xdr:rowOff>
    </xdr:from>
    <xdr:to>
      <xdr:col>7</xdr:col>
      <xdr:colOff>9525</xdr:colOff>
      <xdr:row>75</xdr:row>
      <xdr:rowOff>0</xdr:rowOff>
    </xdr:to>
    <xdr:sp macro="" textlink="">
      <xdr:nvSpPr>
        <xdr:cNvPr id="558" name="Line 191">
          <a:extLst>
            <a:ext uri="{FF2B5EF4-FFF2-40B4-BE49-F238E27FC236}">
              <a16:creationId xmlns:a16="http://schemas.microsoft.com/office/drawing/2014/main" id="{00000000-0008-0000-0C00-00002E020000}"/>
            </a:ext>
          </a:extLst>
        </xdr:cNvPr>
        <xdr:cNvSpPr>
          <a:spLocks noChangeShapeType="1"/>
        </xdr:cNvSpPr>
      </xdr:nvSpPr>
      <xdr:spPr bwMode="auto">
        <a:xfrm>
          <a:off x="1066800" y="9420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9525</xdr:colOff>
      <xdr:row>75</xdr:row>
      <xdr:rowOff>0</xdr:rowOff>
    </xdr:from>
    <xdr:to>
      <xdr:col>8</xdr:col>
      <xdr:colOff>9525</xdr:colOff>
      <xdr:row>75</xdr:row>
      <xdr:rowOff>0</xdr:rowOff>
    </xdr:to>
    <xdr:sp macro="" textlink="">
      <xdr:nvSpPr>
        <xdr:cNvPr id="559" name="Line 192">
          <a:extLst>
            <a:ext uri="{FF2B5EF4-FFF2-40B4-BE49-F238E27FC236}">
              <a16:creationId xmlns:a16="http://schemas.microsoft.com/office/drawing/2014/main" id="{00000000-0008-0000-0C00-00002F020000}"/>
            </a:ext>
          </a:extLst>
        </xdr:cNvPr>
        <xdr:cNvSpPr>
          <a:spLocks noChangeShapeType="1"/>
        </xdr:cNvSpPr>
      </xdr:nvSpPr>
      <xdr:spPr bwMode="auto">
        <a:xfrm>
          <a:off x="1714500" y="94202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9525</xdr:colOff>
      <xdr:row>75</xdr:row>
      <xdr:rowOff>0</xdr:rowOff>
    </xdr:from>
    <xdr:to>
      <xdr:col>9</xdr:col>
      <xdr:colOff>9525</xdr:colOff>
      <xdr:row>75</xdr:row>
      <xdr:rowOff>0</xdr:rowOff>
    </xdr:to>
    <xdr:sp macro="" textlink="">
      <xdr:nvSpPr>
        <xdr:cNvPr id="560" name="Line 193">
          <a:extLst>
            <a:ext uri="{FF2B5EF4-FFF2-40B4-BE49-F238E27FC236}">
              <a16:creationId xmlns:a16="http://schemas.microsoft.com/office/drawing/2014/main" id="{00000000-0008-0000-0C00-000030020000}"/>
            </a:ext>
          </a:extLst>
        </xdr:cNvPr>
        <xdr:cNvSpPr>
          <a:spLocks noChangeShapeType="1"/>
        </xdr:cNvSpPr>
      </xdr:nvSpPr>
      <xdr:spPr bwMode="auto">
        <a:xfrm>
          <a:off x="2381250" y="9420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9525</xdr:colOff>
      <xdr:row>75</xdr:row>
      <xdr:rowOff>0</xdr:rowOff>
    </xdr:from>
    <xdr:to>
      <xdr:col>10</xdr:col>
      <xdr:colOff>9525</xdr:colOff>
      <xdr:row>75</xdr:row>
      <xdr:rowOff>0</xdr:rowOff>
    </xdr:to>
    <xdr:sp macro="" textlink="">
      <xdr:nvSpPr>
        <xdr:cNvPr id="561" name="Line 194">
          <a:extLst>
            <a:ext uri="{FF2B5EF4-FFF2-40B4-BE49-F238E27FC236}">
              <a16:creationId xmlns:a16="http://schemas.microsoft.com/office/drawing/2014/main" id="{00000000-0008-0000-0C00-000031020000}"/>
            </a:ext>
          </a:extLst>
        </xdr:cNvPr>
        <xdr:cNvSpPr>
          <a:spLocks noChangeShapeType="1"/>
        </xdr:cNvSpPr>
      </xdr:nvSpPr>
      <xdr:spPr bwMode="auto">
        <a:xfrm>
          <a:off x="3028950" y="9420225"/>
          <a:ext cx="5048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9525</xdr:colOff>
      <xdr:row>75</xdr:row>
      <xdr:rowOff>0</xdr:rowOff>
    </xdr:from>
    <xdr:to>
      <xdr:col>11</xdr:col>
      <xdr:colOff>9525</xdr:colOff>
      <xdr:row>75</xdr:row>
      <xdr:rowOff>0</xdr:rowOff>
    </xdr:to>
    <xdr:sp macro="" textlink="">
      <xdr:nvSpPr>
        <xdr:cNvPr id="562" name="Line 195">
          <a:extLst>
            <a:ext uri="{FF2B5EF4-FFF2-40B4-BE49-F238E27FC236}">
              <a16:creationId xmlns:a16="http://schemas.microsoft.com/office/drawing/2014/main" id="{00000000-0008-0000-0C00-000032020000}"/>
            </a:ext>
          </a:extLst>
        </xdr:cNvPr>
        <xdr:cNvSpPr>
          <a:spLocks noChangeShapeType="1"/>
        </xdr:cNvSpPr>
      </xdr:nvSpPr>
      <xdr:spPr bwMode="auto">
        <a:xfrm>
          <a:off x="3533775" y="9420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9525</xdr:colOff>
      <xdr:row>75</xdr:row>
      <xdr:rowOff>0</xdr:rowOff>
    </xdr:from>
    <xdr:to>
      <xdr:col>12</xdr:col>
      <xdr:colOff>9525</xdr:colOff>
      <xdr:row>75</xdr:row>
      <xdr:rowOff>0</xdr:rowOff>
    </xdr:to>
    <xdr:sp macro="" textlink="">
      <xdr:nvSpPr>
        <xdr:cNvPr id="563" name="Line 196">
          <a:extLst>
            <a:ext uri="{FF2B5EF4-FFF2-40B4-BE49-F238E27FC236}">
              <a16:creationId xmlns:a16="http://schemas.microsoft.com/office/drawing/2014/main" id="{00000000-0008-0000-0C00-000033020000}"/>
            </a:ext>
          </a:extLst>
        </xdr:cNvPr>
        <xdr:cNvSpPr>
          <a:spLocks noChangeShapeType="1"/>
        </xdr:cNvSpPr>
      </xdr:nvSpPr>
      <xdr:spPr bwMode="auto">
        <a:xfrm>
          <a:off x="4181475" y="9420225"/>
          <a:ext cx="66675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9525</xdr:colOff>
      <xdr:row>75</xdr:row>
      <xdr:rowOff>0</xdr:rowOff>
    </xdr:from>
    <xdr:to>
      <xdr:col>13</xdr:col>
      <xdr:colOff>9525</xdr:colOff>
      <xdr:row>75</xdr:row>
      <xdr:rowOff>0</xdr:rowOff>
    </xdr:to>
    <xdr:sp macro="" textlink="">
      <xdr:nvSpPr>
        <xdr:cNvPr id="564" name="Line 197">
          <a:extLst>
            <a:ext uri="{FF2B5EF4-FFF2-40B4-BE49-F238E27FC236}">
              <a16:creationId xmlns:a16="http://schemas.microsoft.com/office/drawing/2014/main" id="{00000000-0008-0000-0C00-000034020000}"/>
            </a:ext>
          </a:extLst>
        </xdr:cNvPr>
        <xdr:cNvSpPr>
          <a:spLocks noChangeShapeType="1"/>
        </xdr:cNvSpPr>
      </xdr:nvSpPr>
      <xdr:spPr bwMode="auto">
        <a:xfrm>
          <a:off x="4848225" y="9420225"/>
          <a:ext cx="6477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9525</xdr:colOff>
      <xdr:row>75</xdr:row>
      <xdr:rowOff>0</xdr:rowOff>
    </xdr:from>
    <xdr:to>
      <xdr:col>14</xdr:col>
      <xdr:colOff>9525</xdr:colOff>
      <xdr:row>75</xdr:row>
      <xdr:rowOff>0</xdr:rowOff>
    </xdr:to>
    <xdr:sp macro="" textlink="">
      <xdr:nvSpPr>
        <xdr:cNvPr id="565" name="Line 198">
          <a:extLst>
            <a:ext uri="{FF2B5EF4-FFF2-40B4-BE49-F238E27FC236}">
              <a16:creationId xmlns:a16="http://schemas.microsoft.com/office/drawing/2014/main" id="{00000000-0008-0000-0C00-000035020000}"/>
            </a:ext>
          </a:extLst>
        </xdr:cNvPr>
        <xdr:cNvSpPr>
          <a:spLocks noChangeShapeType="1"/>
        </xdr:cNvSpPr>
      </xdr:nvSpPr>
      <xdr:spPr bwMode="auto">
        <a:xfrm>
          <a:off x="5495925" y="9420225"/>
          <a:ext cx="695325"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8</xdr:row>
      <xdr:rowOff>0</xdr:rowOff>
    </xdr:from>
    <xdr:to>
      <xdr:col>1</xdr:col>
      <xdr:colOff>7620</xdr:colOff>
      <xdr:row>8</xdr:row>
      <xdr:rowOff>0</xdr:rowOff>
    </xdr:to>
    <xdr:sp macro="" textlink="">
      <xdr:nvSpPr>
        <xdr:cNvPr id="236" name="Line 17">
          <a:extLst>
            <a:ext uri="{FF2B5EF4-FFF2-40B4-BE49-F238E27FC236}">
              <a16:creationId xmlns:a16="http://schemas.microsoft.com/office/drawing/2014/main" id="{00000000-0008-0000-0C00-0000EC000000}"/>
            </a:ext>
          </a:extLst>
        </xdr:cNvPr>
        <xdr:cNvSpPr>
          <a:spLocks noChangeShapeType="1"/>
        </xdr:cNvSpPr>
      </xdr:nvSpPr>
      <xdr:spPr bwMode="auto">
        <a:xfrm>
          <a:off x="22860" y="1798320"/>
          <a:ext cx="47244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2</xdr:row>
      <xdr:rowOff>0</xdr:rowOff>
    </xdr:from>
    <xdr:to>
      <xdr:col>2</xdr:col>
      <xdr:colOff>38100</xdr:colOff>
      <xdr:row>2</xdr:row>
      <xdr:rowOff>0</xdr:rowOff>
    </xdr:to>
    <xdr:sp macro="" textlink="">
      <xdr:nvSpPr>
        <xdr:cNvPr id="237" name="Line 28">
          <a:extLst>
            <a:ext uri="{FF2B5EF4-FFF2-40B4-BE49-F238E27FC236}">
              <a16:creationId xmlns:a16="http://schemas.microsoft.com/office/drawing/2014/main" id="{00000000-0008-0000-0C00-0000ED000000}"/>
            </a:ext>
          </a:extLst>
        </xdr:cNvPr>
        <xdr:cNvSpPr>
          <a:spLocks noChangeShapeType="1"/>
        </xdr:cNvSpPr>
      </xdr:nvSpPr>
      <xdr:spPr bwMode="auto">
        <a:xfrm>
          <a:off x="495300" y="662940"/>
          <a:ext cx="11430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2</xdr:row>
      <xdr:rowOff>0</xdr:rowOff>
    </xdr:from>
    <xdr:to>
      <xdr:col>3</xdr:col>
      <xdr:colOff>7620</xdr:colOff>
      <xdr:row>2</xdr:row>
      <xdr:rowOff>0</xdr:rowOff>
    </xdr:to>
    <xdr:sp macro="" textlink="">
      <xdr:nvSpPr>
        <xdr:cNvPr id="238" name="Line 29">
          <a:extLst>
            <a:ext uri="{FF2B5EF4-FFF2-40B4-BE49-F238E27FC236}">
              <a16:creationId xmlns:a16="http://schemas.microsoft.com/office/drawing/2014/main" id="{00000000-0008-0000-0C00-0000EE000000}"/>
            </a:ext>
          </a:extLst>
        </xdr:cNvPr>
        <xdr:cNvSpPr>
          <a:spLocks noChangeShapeType="1"/>
        </xdr:cNvSpPr>
      </xdr:nvSpPr>
      <xdr:spPr bwMode="auto">
        <a:xfrm>
          <a:off x="1638300" y="662940"/>
          <a:ext cx="38862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2</xdr:row>
      <xdr:rowOff>0</xdr:rowOff>
    </xdr:from>
    <xdr:to>
      <xdr:col>4</xdr:col>
      <xdr:colOff>7620</xdr:colOff>
      <xdr:row>2</xdr:row>
      <xdr:rowOff>0</xdr:rowOff>
    </xdr:to>
    <xdr:sp macro="" textlink="">
      <xdr:nvSpPr>
        <xdr:cNvPr id="239" name="Line 30">
          <a:extLst>
            <a:ext uri="{FF2B5EF4-FFF2-40B4-BE49-F238E27FC236}">
              <a16:creationId xmlns:a16="http://schemas.microsoft.com/office/drawing/2014/main" id="{00000000-0008-0000-0C00-0000EF000000}"/>
            </a:ext>
          </a:extLst>
        </xdr:cNvPr>
        <xdr:cNvSpPr>
          <a:spLocks noChangeShapeType="1"/>
        </xdr:cNvSpPr>
      </xdr:nvSpPr>
      <xdr:spPr bwMode="auto">
        <a:xfrm>
          <a:off x="5524500" y="662940"/>
          <a:ext cx="8382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8</xdr:row>
      <xdr:rowOff>0</xdr:rowOff>
    </xdr:from>
    <xdr:to>
      <xdr:col>2</xdr:col>
      <xdr:colOff>38100</xdr:colOff>
      <xdr:row>8</xdr:row>
      <xdr:rowOff>0</xdr:rowOff>
    </xdr:to>
    <xdr:sp macro="" textlink="">
      <xdr:nvSpPr>
        <xdr:cNvPr id="240" name="Line 31">
          <a:extLst>
            <a:ext uri="{FF2B5EF4-FFF2-40B4-BE49-F238E27FC236}">
              <a16:creationId xmlns:a16="http://schemas.microsoft.com/office/drawing/2014/main" id="{00000000-0008-0000-0C00-0000F0000000}"/>
            </a:ext>
          </a:extLst>
        </xdr:cNvPr>
        <xdr:cNvSpPr>
          <a:spLocks noChangeShapeType="1"/>
        </xdr:cNvSpPr>
      </xdr:nvSpPr>
      <xdr:spPr bwMode="auto">
        <a:xfrm>
          <a:off x="495300" y="1798320"/>
          <a:ext cx="11430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8</xdr:row>
      <xdr:rowOff>0</xdr:rowOff>
    </xdr:from>
    <xdr:to>
      <xdr:col>3</xdr:col>
      <xdr:colOff>7620</xdr:colOff>
      <xdr:row>8</xdr:row>
      <xdr:rowOff>0</xdr:rowOff>
    </xdr:to>
    <xdr:sp macro="" textlink="">
      <xdr:nvSpPr>
        <xdr:cNvPr id="241" name="Line 32">
          <a:extLst>
            <a:ext uri="{FF2B5EF4-FFF2-40B4-BE49-F238E27FC236}">
              <a16:creationId xmlns:a16="http://schemas.microsoft.com/office/drawing/2014/main" id="{00000000-0008-0000-0C00-0000F1000000}"/>
            </a:ext>
          </a:extLst>
        </xdr:cNvPr>
        <xdr:cNvSpPr>
          <a:spLocks noChangeShapeType="1"/>
        </xdr:cNvSpPr>
      </xdr:nvSpPr>
      <xdr:spPr bwMode="auto">
        <a:xfrm>
          <a:off x="1638300" y="1798320"/>
          <a:ext cx="38862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8</xdr:row>
      <xdr:rowOff>0</xdr:rowOff>
    </xdr:from>
    <xdr:to>
      <xdr:col>4</xdr:col>
      <xdr:colOff>7620</xdr:colOff>
      <xdr:row>8</xdr:row>
      <xdr:rowOff>0</xdr:rowOff>
    </xdr:to>
    <xdr:sp macro="" textlink="">
      <xdr:nvSpPr>
        <xdr:cNvPr id="242" name="Line 33">
          <a:extLst>
            <a:ext uri="{FF2B5EF4-FFF2-40B4-BE49-F238E27FC236}">
              <a16:creationId xmlns:a16="http://schemas.microsoft.com/office/drawing/2014/main" id="{00000000-0008-0000-0C00-0000F2000000}"/>
            </a:ext>
          </a:extLst>
        </xdr:cNvPr>
        <xdr:cNvSpPr>
          <a:spLocks noChangeShapeType="1"/>
        </xdr:cNvSpPr>
      </xdr:nvSpPr>
      <xdr:spPr bwMode="auto">
        <a:xfrm>
          <a:off x="5524500" y="1798320"/>
          <a:ext cx="8382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13</xdr:row>
      <xdr:rowOff>0</xdr:rowOff>
    </xdr:from>
    <xdr:to>
      <xdr:col>2</xdr:col>
      <xdr:colOff>38100</xdr:colOff>
      <xdr:row>13</xdr:row>
      <xdr:rowOff>0</xdr:rowOff>
    </xdr:to>
    <xdr:sp macro="" textlink="">
      <xdr:nvSpPr>
        <xdr:cNvPr id="243" name="Line 34">
          <a:extLst>
            <a:ext uri="{FF2B5EF4-FFF2-40B4-BE49-F238E27FC236}">
              <a16:creationId xmlns:a16="http://schemas.microsoft.com/office/drawing/2014/main" id="{00000000-0008-0000-0C00-0000F3000000}"/>
            </a:ext>
          </a:extLst>
        </xdr:cNvPr>
        <xdr:cNvSpPr>
          <a:spLocks noChangeShapeType="1"/>
        </xdr:cNvSpPr>
      </xdr:nvSpPr>
      <xdr:spPr bwMode="auto">
        <a:xfrm>
          <a:off x="495300" y="2484120"/>
          <a:ext cx="11430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13</xdr:row>
      <xdr:rowOff>0</xdr:rowOff>
    </xdr:from>
    <xdr:to>
      <xdr:col>3</xdr:col>
      <xdr:colOff>7620</xdr:colOff>
      <xdr:row>13</xdr:row>
      <xdr:rowOff>0</xdr:rowOff>
    </xdr:to>
    <xdr:sp macro="" textlink="">
      <xdr:nvSpPr>
        <xdr:cNvPr id="244" name="Line 35">
          <a:extLst>
            <a:ext uri="{FF2B5EF4-FFF2-40B4-BE49-F238E27FC236}">
              <a16:creationId xmlns:a16="http://schemas.microsoft.com/office/drawing/2014/main" id="{00000000-0008-0000-0C00-0000F4000000}"/>
            </a:ext>
          </a:extLst>
        </xdr:cNvPr>
        <xdr:cNvSpPr>
          <a:spLocks noChangeShapeType="1"/>
        </xdr:cNvSpPr>
      </xdr:nvSpPr>
      <xdr:spPr bwMode="auto">
        <a:xfrm>
          <a:off x="1638300" y="2484120"/>
          <a:ext cx="3886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13</xdr:row>
      <xdr:rowOff>0</xdr:rowOff>
    </xdr:from>
    <xdr:to>
      <xdr:col>4</xdr:col>
      <xdr:colOff>7620</xdr:colOff>
      <xdr:row>13</xdr:row>
      <xdr:rowOff>0</xdr:rowOff>
    </xdr:to>
    <xdr:sp macro="" textlink="">
      <xdr:nvSpPr>
        <xdr:cNvPr id="245" name="Line 36">
          <a:extLst>
            <a:ext uri="{FF2B5EF4-FFF2-40B4-BE49-F238E27FC236}">
              <a16:creationId xmlns:a16="http://schemas.microsoft.com/office/drawing/2014/main" id="{00000000-0008-0000-0C00-0000F5000000}"/>
            </a:ext>
          </a:extLst>
        </xdr:cNvPr>
        <xdr:cNvSpPr>
          <a:spLocks noChangeShapeType="1"/>
        </xdr:cNvSpPr>
      </xdr:nvSpPr>
      <xdr:spPr bwMode="auto">
        <a:xfrm>
          <a:off x="5524500" y="2484120"/>
          <a:ext cx="838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15</xdr:row>
      <xdr:rowOff>0</xdr:rowOff>
    </xdr:from>
    <xdr:to>
      <xdr:col>2</xdr:col>
      <xdr:colOff>38100</xdr:colOff>
      <xdr:row>15</xdr:row>
      <xdr:rowOff>0</xdr:rowOff>
    </xdr:to>
    <xdr:sp macro="" textlink="">
      <xdr:nvSpPr>
        <xdr:cNvPr id="246" name="Line 37">
          <a:extLst>
            <a:ext uri="{FF2B5EF4-FFF2-40B4-BE49-F238E27FC236}">
              <a16:creationId xmlns:a16="http://schemas.microsoft.com/office/drawing/2014/main" id="{00000000-0008-0000-0C00-0000F6000000}"/>
            </a:ext>
          </a:extLst>
        </xdr:cNvPr>
        <xdr:cNvSpPr>
          <a:spLocks noChangeShapeType="1"/>
        </xdr:cNvSpPr>
      </xdr:nvSpPr>
      <xdr:spPr bwMode="auto">
        <a:xfrm>
          <a:off x="495300" y="2758440"/>
          <a:ext cx="11430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15</xdr:row>
      <xdr:rowOff>0</xdr:rowOff>
    </xdr:from>
    <xdr:to>
      <xdr:col>3</xdr:col>
      <xdr:colOff>7620</xdr:colOff>
      <xdr:row>15</xdr:row>
      <xdr:rowOff>0</xdr:rowOff>
    </xdr:to>
    <xdr:sp macro="" textlink="">
      <xdr:nvSpPr>
        <xdr:cNvPr id="247" name="Line 38">
          <a:extLst>
            <a:ext uri="{FF2B5EF4-FFF2-40B4-BE49-F238E27FC236}">
              <a16:creationId xmlns:a16="http://schemas.microsoft.com/office/drawing/2014/main" id="{00000000-0008-0000-0C00-0000F7000000}"/>
            </a:ext>
          </a:extLst>
        </xdr:cNvPr>
        <xdr:cNvSpPr>
          <a:spLocks noChangeShapeType="1"/>
        </xdr:cNvSpPr>
      </xdr:nvSpPr>
      <xdr:spPr bwMode="auto">
        <a:xfrm>
          <a:off x="1638300" y="2758440"/>
          <a:ext cx="3886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15</xdr:row>
      <xdr:rowOff>0</xdr:rowOff>
    </xdr:from>
    <xdr:to>
      <xdr:col>4</xdr:col>
      <xdr:colOff>7620</xdr:colOff>
      <xdr:row>15</xdr:row>
      <xdr:rowOff>0</xdr:rowOff>
    </xdr:to>
    <xdr:sp macro="" textlink="">
      <xdr:nvSpPr>
        <xdr:cNvPr id="248" name="Line 39">
          <a:extLst>
            <a:ext uri="{FF2B5EF4-FFF2-40B4-BE49-F238E27FC236}">
              <a16:creationId xmlns:a16="http://schemas.microsoft.com/office/drawing/2014/main" id="{00000000-0008-0000-0C00-0000F8000000}"/>
            </a:ext>
          </a:extLst>
        </xdr:cNvPr>
        <xdr:cNvSpPr>
          <a:spLocks noChangeShapeType="1"/>
        </xdr:cNvSpPr>
      </xdr:nvSpPr>
      <xdr:spPr bwMode="auto">
        <a:xfrm>
          <a:off x="5524500" y="2758440"/>
          <a:ext cx="838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18</xdr:row>
      <xdr:rowOff>0</xdr:rowOff>
    </xdr:from>
    <xdr:to>
      <xdr:col>2</xdr:col>
      <xdr:colOff>38100</xdr:colOff>
      <xdr:row>18</xdr:row>
      <xdr:rowOff>0</xdr:rowOff>
    </xdr:to>
    <xdr:sp macro="" textlink="">
      <xdr:nvSpPr>
        <xdr:cNvPr id="249" name="Line 40">
          <a:extLst>
            <a:ext uri="{FF2B5EF4-FFF2-40B4-BE49-F238E27FC236}">
              <a16:creationId xmlns:a16="http://schemas.microsoft.com/office/drawing/2014/main" id="{00000000-0008-0000-0C00-0000F9000000}"/>
            </a:ext>
          </a:extLst>
        </xdr:cNvPr>
        <xdr:cNvSpPr>
          <a:spLocks noChangeShapeType="1"/>
        </xdr:cNvSpPr>
      </xdr:nvSpPr>
      <xdr:spPr bwMode="auto">
        <a:xfrm>
          <a:off x="495300" y="3169920"/>
          <a:ext cx="11430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18</xdr:row>
      <xdr:rowOff>0</xdr:rowOff>
    </xdr:from>
    <xdr:to>
      <xdr:col>3</xdr:col>
      <xdr:colOff>7620</xdr:colOff>
      <xdr:row>18</xdr:row>
      <xdr:rowOff>0</xdr:rowOff>
    </xdr:to>
    <xdr:sp macro="" textlink="">
      <xdr:nvSpPr>
        <xdr:cNvPr id="250" name="Line 41">
          <a:extLst>
            <a:ext uri="{FF2B5EF4-FFF2-40B4-BE49-F238E27FC236}">
              <a16:creationId xmlns:a16="http://schemas.microsoft.com/office/drawing/2014/main" id="{00000000-0008-0000-0C00-0000FA000000}"/>
            </a:ext>
          </a:extLst>
        </xdr:cNvPr>
        <xdr:cNvSpPr>
          <a:spLocks noChangeShapeType="1"/>
        </xdr:cNvSpPr>
      </xdr:nvSpPr>
      <xdr:spPr bwMode="auto">
        <a:xfrm>
          <a:off x="1638300" y="3169920"/>
          <a:ext cx="3886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18</xdr:row>
      <xdr:rowOff>0</xdr:rowOff>
    </xdr:from>
    <xdr:to>
      <xdr:col>4</xdr:col>
      <xdr:colOff>7620</xdr:colOff>
      <xdr:row>18</xdr:row>
      <xdr:rowOff>0</xdr:rowOff>
    </xdr:to>
    <xdr:sp macro="" textlink="">
      <xdr:nvSpPr>
        <xdr:cNvPr id="251" name="Line 42">
          <a:extLst>
            <a:ext uri="{FF2B5EF4-FFF2-40B4-BE49-F238E27FC236}">
              <a16:creationId xmlns:a16="http://schemas.microsoft.com/office/drawing/2014/main" id="{00000000-0008-0000-0C00-0000FB000000}"/>
            </a:ext>
          </a:extLst>
        </xdr:cNvPr>
        <xdr:cNvSpPr>
          <a:spLocks noChangeShapeType="1"/>
        </xdr:cNvSpPr>
      </xdr:nvSpPr>
      <xdr:spPr bwMode="auto">
        <a:xfrm>
          <a:off x="5524500" y="3169920"/>
          <a:ext cx="838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xdr:col>
      <xdr:colOff>7620</xdr:colOff>
      <xdr:row>19</xdr:row>
      <xdr:rowOff>0</xdr:rowOff>
    </xdr:from>
    <xdr:to>
      <xdr:col>2</xdr:col>
      <xdr:colOff>38100</xdr:colOff>
      <xdr:row>19</xdr:row>
      <xdr:rowOff>0</xdr:rowOff>
    </xdr:to>
    <xdr:sp macro="" textlink="">
      <xdr:nvSpPr>
        <xdr:cNvPr id="252" name="Line 43">
          <a:extLst>
            <a:ext uri="{FF2B5EF4-FFF2-40B4-BE49-F238E27FC236}">
              <a16:creationId xmlns:a16="http://schemas.microsoft.com/office/drawing/2014/main" id="{00000000-0008-0000-0C00-0000FC000000}"/>
            </a:ext>
          </a:extLst>
        </xdr:cNvPr>
        <xdr:cNvSpPr>
          <a:spLocks noChangeShapeType="1"/>
        </xdr:cNvSpPr>
      </xdr:nvSpPr>
      <xdr:spPr bwMode="auto">
        <a:xfrm>
          <a:off x="495300" y="3307080"/>
          <a:ext cx="11430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2</xdr:col>
      <xdr:colOff>38100</xdr:colOff>
      <xdr:row>19</xdr:row>
      <xdr:rowOff>0</xdr:rowOff>
    </xdr:from>
    <xdr:to>
      <xdr:col>3</xdr:col>
      <xdr:colOff>7620</xdr:colOff>
      <xdr:row>19</xdr:row>
      <xdr:rowOff>0</xdr:rowOff>
    </xdr:to>
    <xdr:sp macro="" textlink="">
      <xdr:nvSpPr>
        <xdr:cNvPr id="253" name="Line 44">
          <a:extLst>
            <a:ext uri="{FF2B5EF4-FFF2-40B4-BE49-F238E27FC236}">
              <a16:creationId xmlns:a16="http://schemas.microsoft.com/office/drawing/2014/main" id="{00000000-0008-0000-0C00-0000FD000000}"/>
            </a:ext>
          </a:extLst>
        </xdr:cNvPr>
        <xdr:cNvSpPr>
          <a:spLocks noChangeShapeType="1"/>
        </xdr:cNvSpPr>
      </xdr:nvSpPr>
      <xdr:spPr bwMode="auto">
        <a:xfrm>
          <a:off x="1638300" y="3307080"/>
          <a:ext cx="3886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3</xdr:col>
      <xdr:colOff>7620</xdr:colOff>
      <xdr:row>19</xdr:row>
      <xdr:rowOff>0</xdr:rowOff>
    </xdr:from>
    <xdr:to>
      <xdr:col>4</xdr:col>
      <xdr:colOff>7620</xdr:colOff>
      <xdr:row>19</xdr:row>
      <xdr:rowOff>0</xdr:rowOff>
    </xdr:to>
    <xdr:sp macro="" textlink="">
      <xdr:nvSpPr>
        <xdr:cNvPr id="254" name="Line 45">
          <a:extLst>
            <a:ext uri="{FF2B5EF4-FFF2-40B4-BE49-F238E27FC236}">
              <a16:creationId xmlns:a16="http://schemas.microsoft.com/office/drawing/2014/main" id="{00000000-0008-0000-0C00-0000FE000000}"/>
            </a:ext>
          </a:extLst>
        </xdr:cNvPr>
        <xdr:cNvSpPr>
          <a:spLocks noChangeShapeType="1"/>
        </xdr:cNvSpPr>
      </xdr:nvSpPr>
      <xdr:spPr bwMode="auto">
        <a:xfrm>
          <a:off x="5524500" y="3307080"/>
          <a:ext cx="8382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4</xdr:col>
      <xdr:colOff>0</xdr:colOff>
      <xdr:row>13</xdr:row>
      <xdr:rowOff>0</xdr:rowOff>
    </xdr:from>
    <xdr:to>
      <xdr:col>5</xdr:col>
      <xdr:colOff>7620</xdr:colOff>
      <xdr:row>13</xdr:row>
      <xdr:rowOff>0</xdr:rowOff>
    </xdr:to>
    <xdr:sp macro="" textlink="">
      <xdr:nvSpPr>
        <xdr:cNvPr id="255" name="Line 17">
          <a:extLst>
            <a:ext uri="{FF2B5EF4-FFF2-40B4-BE49-F238E27FC236}">
              <a16:creationId xmlns:a16="http://schemas.microsoft.com/office/drawing/2014/main" id="{00000000-0008-0000-0C00-0000FF000000}"/>
            </a:ext>
          </a:extLst>
        </xdr:cNvPr>
        <xdr:cNvSpPr>
          <a:spLocks noChangeShapeType="1"/>
        </xdr:cNvSpPr>
      </xdr:nvSpPr>
      <xdr:spPr bwMode="auto">
        <a:xfrm>
          <a:off x="22860" y="1798320"/>
          <a:ext cx="47244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xdr:row>
      <xdr:rowOff>0</xdr:rowOff>
    </xdr:from>
    <xdr:to>
      <xdr:col>6</xdr:col>
      <xdr:colOff>7620</xdr:colOff>
      <xdr:row>7</xdr:row>
      <xdr:rowOff>0</xdr:rowOff>
    </xdr:to>
    <xdr:sp macro="" textlink="">
      <xdr:nvSpPr>
        <xdr:cNvPr id="320" name="Line 28">
          <a:extLst>
            <a:ext uri="{FF2B5EF4-FFF2-40B4-BE49-F238E27FC236}">
              <a16:creationId xmlns:a16="http://schemas.microsoft.com/office/drawing/2014/main" id="{00000000-0008-0000-0C00-000040010000}"/>
            </a:ext>
          </a:extLst>
        </xdr:cNvPr>
        <xdr:cNvSpPr>
          <a:spLocks noChangeShapeType="1"/>
        </xdr:cNvSpPr>
      </xdr:nvSpPr>
      <xdr:spPr bwMode="auto">
        <a:xfrm>
          <a:off x="495300" y="662940"/>
          <a:ext cx="58674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xdr:row>
      <xdr:rowOff>0</xdr:rowOff>
    </xdr:from>
    <xdr:to>
      <xdr:col>7</xdr:col>
      <xdr:colOff>7620</xdr:colOff>
      <xdr:row>7</xdr:row>
      <xdr:rowOff>0</xdr:rowOff>
    </xdr:to>
    <xdr:sp macro="" textlink="">
      <xdr:nvSpPr>
        <xdr:cNvPr id="321" name="Line 29">
          <a:extLst>
            <a:ext uri="{FF2B5EF4-FFF2-40B4-BE49-F238E27FC236}">
              <a16:creationId xmlns:a16="http://schemas.microsoft.com/office/drawing/2014/main" id="{00000000-0008-0000-0C00-000041010000}"/>
            </a:ext>
          </a:extLst>
        </xdr:cNvPr>
        <xdr:cNvSpPr>
          <a:spLocks noChangeShapeType="1"/>
        </xdr:cNvSpPr>
      </xdr:nvSpPr>
      <xdr:spPr bwMode="auto">
        <a:xfrm>
          <a:off x="1082040" y="66294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xdr:row>
      <xdr:rowOff>0</xdr:rowOff>
    </xdr:from>
    <xdr:to>
      <xdr:col>8</xdr:col>
      <xdr:colOff>7620</xdr:colOff>
      <xdr:row>7</xdr:row>
      <xdr:rowOff>0</xdr:rowOff>
    </xdr:to>
    <xdr:sp macro="" textlink="">
      <xdr:nvSpPr>
        <xdr:cNvPr id="322" name="Line 30">
          <a:extLst>
            <a:ext uri="{FF2B5EF4-FFF2-40B4-BE49-F238E27FC236}">
              <a16:creationId xmlns:a16="http://schemas.microsoft.com/office/drawing/2014/main" id="{00000000-0008-0000-0C00-000042010000}"/>
            </a:ext>
          </a:extLst>
        </xdr:cNvPr>
        <xdr:cNvSpPr>
          <a:spLocks noChangeShapeType="1"/>
        </xdr:cNvSpPr>
      </xdr:nvSpPr>
      <xdr:spPr bwMode="auto">
        <a:xfrm>
          <a:off x="1752600" y="66294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xdr:row>
      <xdr:rowOff>0</xdr:rowOff>
    </xdr:from>
    <xdr:to>
      <xdr:col>9</xdr:col>
      <xdr:colOff>7620</xdr:colOff>
      <xdr:row>7</xdr:row>
      <xdr:rowOff>0</xdr:rowOff>
    </xdr:to>
    <xdr:sp macro="" textlink="">
      <xdr:nvSpPr>
        <xdr:cNvPr id="323" name="Line 31">
          <a:extLst>
            <a:ext uri="{FF2B5EF4-FFF2-40B4-BE49-F238E27FC236}">
              <a16:creationId xmlns:a16="http://schemas.microsoft.com/office/drawing/2014/main" id="{00000000-0008-0000-0C00-000043010000}"/>
            </a:ext>
          </a:extLst>
        </xdr:cNvPr>
        <xdr:cNvSpPr>
          <a:spLocks noChangeShapeType="1"/>
        </xdr:cNvSpPr>
      </xdr:nvSpPr>
      <xdr:spPr bwMode="auto">
        <a:xfrm>
          <a:off x="2438400" y="66294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xdr:row>
      <xdr:rowOff>0</xdr:rowOff>
    </xdr:from>
    <xdr:to>
      <xdr:col>10</xdr:col>
      <xdr:colOff>7620</xdr:colOff>
      <xdr:row>7</xdr:row>
      <xdr:rowOff>0</xdr:rowOff>
    </xdr:to>
    <xdr:sp macro="" textlink="">
      <xdr:nvSpPr>
        <xdr:cNvPr id="324" name="Line 32">
          <a:extLst>
            <a:ext uri="{FF2B5EF4-FFF2-40B4-BE49-F238E27FC236}">
              <a16:creationId xmlns:a16="http://schemas.microsoft.com/office/drawing/2014/main" id="{00000000-0008-0000-0C00-000044010000}"/>
            </a:ext>
          </a:extLst>
        </xdr:cNvPr>
        <xdr:cNvSpPr>
          <a:spLocks noChangeShapeType="1"/>
        </xdr:cNvSpPr>
      </xdr:nvSpPr>
      <xdr:spPr bwMode="auto">
        <a:xfrm>
          <a:off x="3108960" y="662940"/>
          <a:ext cx="5181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xdr:row>
      <xdr:rowOff>0</xdr:rowOff>
    </xdr:from>
    <xdr:to>
      <xdr:col>11</xdr:col>
      <xdr:colOff>7620</xdr:colOff>
      <xdr:row>7</xdr:row>
      <xdr:rowOff>0</xdr:rowOff>
    </xdr:to>
    <xdr:sp macro="" textlink="">
      <xdr:nvSpPr>
        <xdr:cNvPr id="325" name="Line 33">
          <a:extLst>
            <a:ext uri="{FF2B5EF4-FFF2-40B4-BE49-F238E27FC236}">
              <a16:creationId xmlns:a16="http://schemas.microsoft.com/office/drawing/2014/main" id="{00000000-0008-0000-0C00-000045010000}"/>
            </a:ext>
          </a:extLst>
        </xdr:cNvPr>
        <xdr:cNvSpPr>
          <a:spLocks noChangeShapeType="1"/>
        </xdr:cNvSpPr>
      </xdr:nvSpPr>
      <xdr:spPr bwMode="auto">
        <a:xfrm>
          <a:off x="3627120" y="66294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xdr:row>
      <xdr:rowOff>0</xdr:rowOff>
    </xdr:from>
    <xdr:to>
      <xdr:col>12</xdr:col>
      <xdr:colOff>7620</xdr:colOff>
      <xdr:row>7</xdr:row>
      <xdr:rowOff>0</xdr:rowOff>
    </xdr:to>
    <xdr:sp macro="" textlink="">
      <xdr:nvSpPr>
        <xdr:cNvPr id="326" name="Line 34">
          <a:extLst>
            <a:ext uri="{FF2B5EF4-FFF2-40B4-BE49-F238E27FC236}">
              <a16:creationId xmlns:a16="http://schemas.microsoft.com/office/drawing/2014/main" id="{00000000-0008-0000-0C00-000046010000}"/>
            </a:ext>
          </a:extLst>
        </xdr:cNvPr>
        <xdr:cNvSpPr>
          <a:spLocks noChangeShapeType="1"/>
        </xdr:cNvSpPr>
      </xdr:nvSpPr>
      <xdr:spPr bwMode="auto">
        <a:xfrm>
          <a:off x="4297680" y="66294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xdr:row>
      <xdr:rowOff>0</xdr:rowOff>
    </xdr:from>
    <xdr:to>
      <xdr:col>13</xdr:col>
      <xdr:colOff>7620</xdr:colOff>
      <xdr:row>7</xdr:row>
      <xdr:rowOff>0</xdr:rowOff>
    </xdr:to>
    <xdr:sp macro="" textlink="">
      <xdr:nvSpPr>
        <xdr:cNvPr id="327" name="Line 35">
          <a:extLst>
            <a:ext uri="{FF2B5EF4-FFF2-40B4-BE49-F238E27FC236}">
              <a16:creationId xmlns:a16="http://schemas.microsoft.com/office/drawing/2014/main" id="{00000000-0008-0000-0C00-000047010000}"/>
            </a:ext>
          </a:extLst>
        </xdr:cNvPr>
        <xdr:cNvSpPr>
          <a:spLocks noChangeShapeType="1"/>
        </xdr:cNvSpPr>
      </xdr:nvSpPr>
      <xdr:spPr bwMode="auto">
        <a:xfrm>
          <a:off x="4983480" y="66294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xdr:row>
      <xdr:rowOff>0</xdr:rowOff>
    </xdr:from>
    <xdr:to>
      <xdr:col>14</xdr:col>
      <xdr:colOff>7620</xdr:colOff>
      <xdr:row>7</xdr:row>
      <xdr:rowOff>0</xdr:rowOff>
    </xdr:to>
    <xdr:sp macro="" textlink="">
      <xdr:nvSpPr>
        <xdr:cNvPr id="328" name="Line 36">
          <a:extLst>
            <a:ext uri="{FF2B5EF4-FFF2-40B4-BE49-F238E27FC236}">
              <a16:creationId xmlns:a16="http://schemas.microsoft.com/office/drawing/2014/main" id="{00000000-0008-0000-0C00-000048010000}"/>
            </a:ext>
          </a:extLst>
        </xdr:cNvPr>
        <xdr:cNvSpPr>
          <a:spLocks noChangeShapeType="1"/>
        </xdr:cNvSpPr>
      </xdr:nvSpPr>
      <xdr:spPr bwMode="auto">
        <a:xfrm>
          <a:off x="5654040" y="662940"/>
          <a:ext cx="7086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13</xdr:row>
      <xdr:rowOff>0</xdr:rowOff>
    </xdr:from>
    <xdr:to>
      <xdr:col>6</xdr:col>
      <xdr:colOff>7620</xdr:colOff>
      <xdr:row>13</xdr:row>
      <xdr:rowOff>0</xdr:rowOff>
    </xdr:to>
    <xdr:sp macro="" textlink="">
      <xdr:nvSpPr>
        <xdr:cNvPr id="329" name="Line 37">
          <a:extLst>
            <a:ext uri="{FF2B5EF4-FFF2-40B4-BE49-F238E27FC236}">
              <a16:creationId xmlns:a16="http://schemas.microsoft.com/office/drawing/2014/main" id="{00000000-0008-0000-0C00-000049010000}"/>
            </a:ext>
          </a:extLst>
        </xdr:cNvPr>
        <xdr:cNvSpPr>
          <a:spLocks noChangeShapeType="1"/>
        </xdr:cNvSpPr>
      </xdr:nvSpPr>
      <xdr:spPr bwMode="auto">
        <a:xfrm>
          <a:off x="495300" y="1798320"/>
          <a:ext cx="58674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13</xdr:row>
      <xdr:rowOff>0</xdr:rowOff>
    </xdr:from>
    <xdr:to>
      <xdr:col>7</xdr:col>
      <xdr:colOff>7620</xdr:colOff>
      <xdr:row>13</xdr:row>
      <xdr:rowOff>0</xdr:rowOff>
    </xdr:to>
    <xdr:sp macro="" textlink="">
      <xdr:nvSpPr>
        <xdr:cNvPr id="330" name="Line 38">
          <a:extLst>
            <a:ext uri="{FF2B5EF4-FFF2-40B4-BE49-F238E27FC236}">
              <a16:creationId xmlns:a16="http://schemas.microsoft.com/office/drawing/2014/main" id="{00000000-0008-0000-0C00-00004A010000}"/>
            </a:ext>
          </a:extLst>
        </xdr:cNvPr>
        <xdr:cNvSpPr>
          <a:spLocks noChangeShapeType="1"/>
        </xdr:cNvSpPr>
      </xdr:nvSpPr>
      <xdr:spPr bwMode="auto">
        <a:xfrm>
          <a:off x="1082040" y="17983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13</xdr:row>
      <xdr:rowOff>0</xdr:rowOff>
    </xdr:from>
    <xdr:to>
      <xdr:col>8</xdr:col>
      <xdr:colOff>7620</xdr:colOff>
      <xdr:row>13</xdr:row>
      <xdr:rowOff>0</xdr:rowOff>
    </xdr:to>
    <xdr:sp macro="" textlink="">
      <xdr:nvSpPr>
        <xdr:cNvPr id="331" name="Line 39">
          <a:extLst>
            <a:ext uri="{FF2B5EF4-FFF2-40B4-BE49-F238E27FC236}">
              <a16:creationId xmlns:a16="http://schemas.microsoft.com/office/drawing/2014/main" id="{00000000-0008-0000-0C00-00004B010000}"/>
            </a:ext>
          </a:extLst>
        </xdr:cNvPr>
        <xdr:cNvSpPr>
          <a:spLocks noChangeShapeType="1"/>
        </xdr:cNvSpPr>
      </xdr:nvSpPr>
      <xdr:spPr bwMode="auto">
        <a:xfrm>
          <a:off x="1752600" y="179832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13</xdr:row>
      <xdr:rowOff>0</xdr:rowOff>
    </xdr:from>
    <xdr:to>
      <xdr:col>9</xdr:col>
      <xdr:colOff>7620</xdr:colOff>
      <xdr:row>13</xdr:row>
      <xdr:rowOff>0</xdr:rowOff>
    </xdr:to>
    <xdr:sp macro="" textlink="">
      <xdr:nvSpPr>
        <xdr:cNvPr id="332" name="Line 40">
          <a:extLst>
            <a:ext uri="{FF2B5EF4-FFF2-40B4-BE49-F238E27FC236}">
              <a16:creationId xmlns:a16="http://schemas.microsoft.com/office/drawing/2014/main" id="{00000000-0008-0000-0C00-00004C010000}"/>
            </a:ext>
          </a:extLst>
        </xdr:cNvPr>
        <xdr:cNvSpPr>
          <a:spLocks noChangeShapeType="1"/>
        </xdr:cNvSpPr>
      </xdr:nvSpPr>
      <xdr:spPr bwMode="auto">
        <a:xfrm>
          <a:off x="2438400" y="17983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13</xdr:row>
      <xdr:rowOff>0</xdr:rowOff>
    </xdr:from>
    <xdr:to>
      <xdr:col>10</xdr:col>
      <xdr:colOff>7620</xdr:colOff>
      <xdr:row>13</xdr:row>
      <xdr:rowOff>0</xdr:rowOff>
    </xdr:to>
    <xdr:sp macro="" textlink="">
      <xdr:nvSpPr>
        <xdr:cNvPr id="333" name="Line 41">
          <a:extLst>
            <a:ext uri="{FF2B5EF4-FFF2-40B4-BE49-F238E27FC236}">
              <a16:creationId xmlns:a16="http://schemas.microsoft.com/office/drawing/2014/main" id="{00000000-0008-0000-0C00-00004D010000}"/>
            </a:ext>
          </a:extLst>
        </xdr:cNvPr>
        <xdr:cNvSpPr>
          <a:spLocks noChangeShapeType="1"/>
        </xdr:cNvSpPr>
      </xdr:nvSpPr>
      <xdr:spPr bwMode="auto">
        <a:xfrm>
          <a:off x="3108960" y="1798320"/>
          <a:ext cx="5181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13</xdr:row>
      <xdr:rowOff>0</xdr:rowOff>
    </xdr:from>
    <xdr:to>
      <xdr:col>11</xdr:col>
      <xdr:colOff>7620</xdr:colOff>
      <xdr:row>13</xdr:row>
      <xdr:rowOff>0</xdr:rowOff>
    </xdr:to>
    <xdr:sp macro="" textlink="">
      <xdr:nvSpPr>
        <xdr:cNvPr id="334" name="Line 42">
          <a:extLst>
            <a:ext uri="{FF2B5EF4-FFF2-40B4-BE49-F238E27FC236}">
              <a16:creationId xmlns:a16="http://schemas.microsoft.com/office/drawing/2014/main" id="{00000000-0008-0000-0C00-00004E010000}"/>
            </a:ext>
          </a:extLst>
        </xdr:cNvPr>
        <xdr:cNvSpPr>
          <a:spLocks noChangeShapeType="1"/>
        </xdr:cNvSpPr>
      </xdr:nvSpPr>
      <xdr:spPr bwMode="auto">
        <a:xfrm>
          <a:off x="3627120" y="17983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13</xdr:row>
      <xdr:rowOff>0</xdr:rowOff>
    </xdr:from>
    <xdr:to>
      <xdr:col>12</xdr:col>
      <xdr:colOff>7620</xdr:colOff>
      <xdr:row>13</xdr:row>
      <xdr:rowOff>0</xdr:rowOff>
    </xdr:to>
    <xdr:sp macro="" textlink="">
      <xdr:nvSpPr>
        <xdr:cNvPr id="335" name="Line 43">
          <a:extLst>
            <a:ext uri="{FF2B5EF4-FFF2-40B4-BE49-F238E27FC236}">
              <a16:creationId xmlns:a16="http://schemas.microsoft.com/office/drawing/2014/main" id="{00000000-0008-0000-0C00-00004F010000}"/>
            </a:ext>
          </a:extLst>
        </xdr:cNvPr>
        <xdr:cNvSpPr>
          <a:spLocks noChangeShapeType="1"/>
        </xdr:cNvSpPr>
      </xdr:nvSpPr>
      <xdr:spPr bwMode="auto">
        <a:xfrm>
          <a:off x="4297680" y="179832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13</xdr:row>
      <xdr:rowOff>0</xdr:rowOff>
    </xdr:from>
    <xdr:to>
      <xdr:col>13</xdr:col>
      <xdr:colOff>7620</xdr:colOff>
      <xdr:row>13</xdr:row>
      <xdr:rowOff>0</xdr:rowOff>
    </xdr:to>
    <xdr:sp macro="" textlink="">
      <xdr:nvSpPr>
        <xdr:cNvPr id="336" name="Line 44">
          <a:extLst>
            <a:ext uri="{FF2B5EF4-FFF2-40B4-BE49-F238E27FC236}">
              <a16:creationId xmlns:a16="http://schemas.microsoft.com/office/drawing/2014/main" id="{00000000-0008-0000-0C00-000050010000}"/>
            </a:ext>
          </a:extLst>
        </xdr:cNvPr>
        <xdr:cNvSpPr>
          <a:spLocks noChangeShapeType="1"/>
        </xdr:cNvSpPr>
      </xdr:nvSpPr>
      <xdr:spPr bwMode="auto">
        <a:xfrm>
          <a:off x="4983480" y="17983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13</xdr:row>
      <xdr:rowOff>0</xdr:rowOff>
    </xdr:from>
    <xdr:to>
      <xdr:col>14</xdr:col>
      <xdr:colOff>7620</xdr:colOff>
      <xdr:row>13</xdr:row>
      <xdr:rowOff>0</xdr:rowOff>
    </xdr:to>
    <xdr:sp macro="" textlink="">
      <xdr:nvSpPr>
        <xdr:cNvPr id="337" name="Line 45">
          <a:extLst>
            <a:ext uri="{FF2B5EF4-FFF2-40B4-BE49-F238E27FC236}">
              <a16:creationId xmlns:a16="http://schemas.microsoft.com/office/drawing/2014/main" id="{00000000-0008-0000-0C00-000051010000}"/>
            </a:ext>
          </a:extLst>
        </xdr:cNvPr>
        <xdr:cNvSpPr>
          <a:spLocks noChangeShapeType="1"/>
        </xdr:cNvSpPr>
      </xdr:nvSpPr>
      <xdr:spPr bwMode="auto">
        <a:xfrm>
          <a:off x="5654040" y="1798320"/>
          <a:ext cx="7086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23</xdr:row>
      <xdr:rowOff>0</xdr:rowOff>
    </xdr:from>
    <xdr:to>
      <xdr:col>6</xdr:col>
      <xdr:colOff>7620</xdr:colOff>
      <xdr:row>23</xdr:row>
      <xdr:rowOff>0</xdr:rowOff>
    </xdr:to>
    <xdr:sp macro="" textlink="">
      <xdr:nvSpPr>
        <xdr:cNvPr id="338" name="Line 46">
          <a:extLst>
            <a:ext uri="{FF2B5EF4-FFF2-40B4-BE49-F238E27FC236}">
              <a16:creationId xmlns:a16="http://schemas.microsoft.com/office/drawing/2014/main" id="{00000000-0008-0000-0C00-000052010000}"/>
            </a:ext>
          </a:extLst>
        </xdr:cNvPr>
        <xdr:cNvSpPr>
          <a:spLocks noChangeShapeType="1"/>
        </xdr:cNvSpPr>
      </xdr:nvSpPr>
      <xdr:spPr bwMode="auto">
        <a:xfrm>
          <a:off x="495300" y="28498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23</xdr:row>
      <xdr:rowOff>0</xdr:rowOff>
    </xdr:from>
    <xdr:to>
      <xdr:col>7</xdr:col>
      <xdr:colOff>7620</xdr:colOff>
      <xdr:row>23</xdr:row>
      <xdr:rowOff>0</xdr:rowOff>
    </xdr:to>
    <xdr:sp macro="" textlink="">
      <xdr:nvSpPr>
        <xdr:cNvPr id="339" name="Line 47">
          <a:extLst>
            <a:ext uri="{FF2B5EF4-FFF2-40B4-BE49-F238E27FC236}">
              <a16:creationId xmlns:a16="http://schemas.microsoft.com/office/drawing/2014/main" id="{00000000-0008-0000-0C00-000053010000}"/>
            </a:ext>
          </a:extLst>
        </xdr:cNvPr>
        <xdr:cNvSpPr>
          <a:spLocks noChangeShapeType="1"/>
        </xdr:cNvSpPr>
      </xdr:nvSpPr>
      <xdr:spPr bwMode="auto">
        <a:xfrm>
          <a:off x="1082040" y="2849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23</xdr:row>
      <xdr:rowOff>0</xdr:rowOff>
    </xdr:from>
    <xdr:to>
      <xdr:col>8</xdr:col>
      <xdr:colOff>7620</xdr:colOff>
      <xdr:row>23</xdr:row>
      <xdr:rowOff>0</xdr:rowOff>
    </xdr:to>
    <xdr:sp macro="" textlink="">
      <xdr:nvSpPr>
        <xdr:cNvPr id="340" name="Line 48">
          <a:extLst>
            <a:ext uri="{FF2B5EF4-FFF2-40B4-BE49-F238E27FC236}">
              <a16:creationId xmlns:a16="http://schemas.microsoft.com/office/drawing/2014/main" id="{00000000-0008-0000-0C00-000054010000}"/>
            </a:ext>
          </a:extLst>
        </xdr:cNvPr>
        <xdr:cNvSpPr>
          <a:spLocks noChangeShapeType="1"/>
        </xdr:cNvSpPr>
      </xdr:nvSpPr>
      <xdr:spPr bwMode="auto">
        <a:xfrm>
          <a:off x="1752600" y="28498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23</xdr:row>
      <xdr:rowOff>0</xdr:rowOff>
    </xdr:from>
    <xdr:to>
      <xdr:col>9</xdr:col>
      <xdr:colOff>7620</xdr:colOff>
      <xdr:row>23</xdr:row>
      <xdr:rowOff>0</xdr:rowOff>
    </xdr:to>
    <xdr:sp macro="" textlink="">
      <xdr:nvSpPr>
        <xdr:cNvPr id="341" name="Line 49">
          <a:extLst>
            <a:ext uri="{FF2B5EF4-FFF2-40B4-BE49-F238E27FC236}">
              <a16:creationId xmlns:a16="http://schemas.microsoft.com/office/drawing/2014/main" id="{00000000-0008-0000-0C00-000055010000}"/>
            </a:ext>
          </a:extLst>
        </xdr:cNvPr>
        <xdr:cNvSpPr>
          <a:spLocks noChangeShapeType="1"/>
        </xdr:cNvSpPr>
      </xdr:nvSpPr>
      <xdr:spPr bwMode="auto">
        <a:xfrm>
          <a:off x="2438400" y="2849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23</xdr:row>
      <xdr:rowOff>0</xdr:rowOff>
    </xdr:from>
    <xdr:to>
      <xdr:col>10</xdr:col>
      <xdr:colOff>7620</xdr:colOff>
      <xdr:row>23</xdr:row>
      <xdr:rowOff>0</xdr:rowOff>
    </xdr:to>
    <xdr:sp macro="" textlink="">
      <xdr:nvSpPr>
        <xdr:cNvPr id="342" name="Line 50">
          <a:extLst>
            <a:ext uri="{FF2B5EF4-FFF2-40B4-BE49-F238E27FC236}">
              <a16:creationId xmlns:a16="http://schemas.microsoft.com/office/drawing/2014/main" id="{00000000-0008-0000-0C00-000056010000}"/>
            </a:ext>
          </a:extLst>
        </xdr:cNvPr>
        <xdr:cNvSpPr>
          <a:spLocks noChangeShapeType="1"/>
        </xdr:cNvSpPr>
      </xdr:nvSpPr>
      <xdr:spPr bwMode="auto">
        <a:xfrm>
          <a:off x="3108960" y="28498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23</xdr:row>
      <xdr:rowOff>0</xdr:rowOff>
    </xdr:from>
    <xdr:to>
      <xdr:col>11</xdr:col>
      <xdr:colOff>7620</xdr:colOff>
      <xdr:row>23</xdr:row>
      <xdr:rowOff>0</xdr:rowOff>
    </xdr:to>
    <xdr:sp macro="" textlink="">
      <xdr:nvSpPr>
        <xdr:cNvPr id="343" name="Line 51">
          <a:extLst>
            <a:ext uri="{FF2B5EF4-FFF2-40B4-BE49-F238E27FC236}">
              <a16:creationId xmlns:a16="http://schemas.microsoft.com/office/drawing/2014/main" id="{00000000-0008-0000-0C00-000057010000}"/>
            </a:ext>
          </a:extLst>
        </xdr:cNvPr>
        <xdr:cNvSpPr>
          <a:spLocks noChangeShapeType="1"/>
        </xdr:cNvSpPr>
      </xdr:nvSpPr>
      <xdr:spPr bwMode="auto">
        <a:xfrm>
          <a:off x="3627120" y="2849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23</xdr:row>
      <xdr:rowOff>0</xdr:rowOff>
    </xdr:from>
    <xdr:to>
      <xdr:col>12</xdr:col>
      <xdr:colOff>7620</xdr:colOff>
      <xdr:row>23</xdr:row>
      <xdr:rowOff>0</xdr:rowOff>
    </xdr:to>
    <xdr:sp macro="" textlink="">
      <xdr:nvSpPr>
        <xdr:cNvPr id="344" name="Line 52">
          <a:extLst>
            <a:ext uri="{FF2B5EF4-FFF2-40B4-BE49-F238E27FC236}">
              <a16:creationId xmlns:a16="http://schemas.microsoft.com/office/drawing/2014/main" id="{00000000-0008-0000-0C00-000058010000}"/>
            </a:ext>
          </a:extLst>
        </xdr:cNvPr>
        <xdr:cNvSpPr>
          <a:spLocks noChangeShapeType="1"/>
        </xdr:cNvSpPr>
      </xdr:nvSpPr>
      <xdr:spPr bwMode="auto">
        <a:xfrm>
          <a:off x="4297680" y="28498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23</xdr:row>
      <xdr:rowOff>0</xdr:rowOff>
    </xdr:from>
    <xdr:to>
      <xdr:col>13</xdr:col>
      <xdr:colOff>7620</xdr:colOff>
      <xdr:row>23</xdr:row>
      <xdr:rowOff>0</xdr:rowOff>
    </xdr:to>
    <xdr:sp macro="" textlink="">
      <xdr:nvSpPr>
        <xdr:cNvPr id="345" name="Line 53">
          <a:extLst>
            <a:ext uri="{FF2B5EF4-FFF2-40B4-BE49-F238E27FC236}">
              <a16:creationId xmlns:a16="http://schemas.microsoft.com/office/drawing/2014/main" id="{00000000-0008-0000-0C00-000059010000}"/>
            </a:ext>
          </a:extLst>
        </xdr:cNvPr>
        <xdr:cNvSpPr>
          <a:spLocks noChangeShapeType="1"/>
        </xdr:cNvSpPr>
      </xdr:nvSpPr>
      <xdr:spPr bwMode="auto">
        <a:xfrm>
          <a:off x="4983480" y="2849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23</xdr:row>
      <xdr:rowOff>0</xdr:rowOff>
    </xdr:from>
    <xdr:to>
      <xdr:col>14</xdr:col>
      <xdr:colOff>7620</xdr:colOff>
      <xdr:row>23</xdr:row>
      <xdr:rowOff>0</xdr:rowOff>
    </xdr:to>
    <xdr:sp macro="" textlink="">
      <xdr:nvSpPr>
        <xdr:cNvPr id="346" name="Line 54">
          <a:extLst>
            <a:ext uri="{FF2B5EF4-FFF2-40B4-BE49-F238E27FC236}">
              <a16:creationId xmlns:a16="http://schemas.microsoft.com/office/drawing/2014/main" id="{00000000-0008-0000-0C00-00005A010000}"/>
            </a:ext>
          </a:extLst>
        </xdr:cNvPr>
        <xdr:cNvSpPr>
          <a:spLocks noChangeShapeType="1"/>
        </xdr:cNvSpPr>
      </xdr:nvSpPr>
      <xdr:spPr bwMode="auto">
        <a:xfrm>
          <a:off x="5654040" y="28498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28</xdr:row>
      <xdr:rowOff>0</xdr:rowOff>
    </xdr:from>
    <xdr:to>
      <xdr:col>6</xdr:col>
      <xdr:colOff>7620</xdr:colOff>
      <xdr:row>28</xdr:row>
      <xdr:rowOff>0</xdr:rowOff>
    </xdr:to>
    <xdr:sp macro="" textlink="">
      <xdr:nvSpPr>
        <xdr:cNvPr id="347" name="Line 55">
          <a:extLst>
            <a:ext uri="{FF2B5EF4-FFF2-40B4-BE49-F238E27FC236}">
              <a16:creationId xmlns:a16="http://schemas.microsoft.com/office/drawing/2014/main" id="{00000000-0008-0000-0C00-00005B010000}"/>
            </a:ext>
          </a:extLst>
        </xdr:cNvPr>
        <xdr:cNvSpPr>
          <a:spLocks noChangeShapeType="1"/>
        </xdr:cNvSpPr>
      </xdr:nvSpPr>
      <xdr:spPr bwMode="auto">
        <a:xfrm>
          <a:off x="495300" y="35356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28</xdr:row>
      <xdr:rowOff>0</xdr:rowOff>
    </xdr:from>
    <xdr:to>
      <xdr:col>7</xdr:col>
      <xdr:colOff>7620</xdr:colOff>
      <xdr:row>28</xdr:row>
      <xdr:rowOff>0</xdr:rowOff>
    </xdr:to>
    <xdr:sp macro="" textlink="">
      <xdr:nvSpPr>
        <xdr:cNvPr id="348" name="Line 56">
          <a:extLst>
            <a:ext uri="{FF2B5EF4-FFF2-40B4-BE49-F238E27FC236}">
              <a16:creationId xmlns:a16="http://schemas.microsoft.com/office/drawing/2014/main" id="{00000000-0008-0000-0C00-00005C010000}"/>
            </a:ext>
          </a:extLst>
        </xdr:cNvPr>
        <xdr:cNvSpPr>
          <a:spLocks noChangeShapeType="1"/>
        </xdr:cNvSpPr>
      </xdr:nvSpPr>
      <xdr:spPr bwMode="auto">
        <a:xfrm>
          <a:off x="1082040" y="3535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28</xdr:row>
      <xdr:rowOff>0</xdr:rowOff>
    </xdr:from>
    <xdr:to>
      <xdr:col>8</xdr:col>
      <xdr:colOff>7620</xdr:colOff>
      <xdr:row>28</xdr:row>
      <xdr:rowOff>0</xdr:rowOff>
    </xdr:to>
    <xdr:sp macro="" textlink="">
      <xdr:nvSpPr>
        <xdr:cNvPr id="349" name="Line 57">
          <a:extLst>
            <a:ext uri="{FF2B5EF4-FFF2-40B4-BE49-F238E27FC236}">
              <a16:creationId xmlns:a16="http://schemas.microsoft.com/office/drawing/2014/main" id="{00000000-0008-0000-0C00-00005D010000}"/>
            </a:ext>
          </a:extLst>
        </xdr:cNvPr>
        <xdr:cNvSpPr>
          <a:spLocks noChangeShapeType="1"/>
        </xdr:cNvSpPr>
      </xdr:nvSpPr>
      <xdr:spPr bwMode="auto">
        <a:xfrm>
          <a:off x="1752600" y="35356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28</xdr:row>
      <xdr:rowOff>0</xdr:rowOff>
    </xdr:from>
    <xdr:to>
      <xdr:col>9</xdr:col>
      <xdr:colOff>7620</xdr:colOff>
      <xdr:row>28</xdr:row>
      <xdr:rowOff>0</xdr:rowOff>
    </xdr:to>
    <xdr:sp macro="" textlink="">
      <xdr:nvSpPr>
        <xdr:cNvPr id="350" name="Line 58">
          <a:extLst>
            <a:ext uri="{FF2B5EF4-FFF2-40B4-BE49-F238E27FC236}">
              <a16:creationId xmlns:a16="http://schemas.microsoft.com/office/drawing/2014/main" id="{00000000-0008-0000-0C00-00005E010000}"/>
            </a:ext>
          </a:extLst>
        </xdr:cNvPr>
        <xdr:cNvSpPr>
          <a:spLocks noChangeShapeType="1"/>
        </xdr:cNvSpPr>
      </xdr:nvSpPr>
      <xdr:spPr bwMode="auto">
        <a:xfrm>
          <a:off x="2438400" y="3535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28</xdr:row>
      <xdr:rowOff>0</xdr:rowOff>
    </xdr:from>
    <xdr:to>
      <xdr:col>10</xdr:col>
      <xdr:colOff>7620</xdr:colOff>
      <xdr:row>28</xdr:row>
      <xdr:rowOff>0</xdr:rowOff>
    </xdr:to>
    <xdr:sp macro="" textlink="">
      <xdr:nvSpPr>
        <xdr:cNvPr id="351" name="Line 59">
          <a:extLst>
            <a:ext uri="{FF2B5EF4-FFF2-40B4-BE49-F238E27FC236}">
              <a16:creationId xmlns:a16="http://schemas.microsoft.com/office/drawing/2014/main" id="{00000000-0008-0000-0C00-00005F010000}"/>
            </a:ext>
          </a:extLst>
        </xdr:cNvPr>
        <xdr:cNvSpPr>
          <a:spLocks noChangeShapeType="1"/>
        </xdr:cNvSpPr>
      </xdr:nvSpPr>
      <xdr:spPr bwMode="auto">
        <a:xfrm>
          <a:off x="3108960" y="35356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28</xdr:row>
      <xdr:rowOff>0</xdr:rowOff>
    </xdr:from>
    <xdr:to>
      <xdr:col>11</xdr:col>
      <xdr:colOff>7620</xdr:colOff>
      <xdr:row>28</xdr:row>
      <xdr:rowOff>0</xdr:rowOff>
    </xdr:to>
    <xdr:sp macro="" textlink="">
      <xdr:nvSpPr>
        <xdr:cNvPr id="352" name="Line 60">
          <a:extLst>
            <a:ext uri="{FF2B5EF4-FFF2-40B4-BE49-F238E27FC236}">
              <a16:creationId xmlns:a16="http://schemas.microsoft.com/office/drawing/2014/main" id="{00000000-0008-0000-0C00-000060010000}"/>
            </a:ext>
          </a:extLst>
        </xdr:cNvPr>
        <xdr:cNvSpPr>
          <a:spLocks noChangeShapeType="1"/>
        </xdr:cNvSpPr>
      </xdr:nvSpPr>
      <xdr:spPr bwMode="auto">
        <a:xfrm>
          <a:off x="3627120" y="3535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28</xdr:row>
      <xdr:rowOff>0</xdr:rowOff>
    </xdr:from>
    <xdr:to>
      <xdr:col>12</xdr:col>
      <xdr:colOff>7620</xdr:colOff>
      <xdr:row>28</xdr:row>
      <xdr:rowOff>0</xdr:rowOff>
    </xdr:to>
    <xdr:sp macro="" textlink="">
      <xdr:nvSpPr>
        <xdr:cNvPr id="353" name="Line 61">
          <a:extLst>
            <a:ext uri="{FF2B5EF4-FFF2-40B4-BE49-F238E27FC236}">
              <a16:creationId xmlns:a16="http://schemas.microsoft.com/office/drawing/2014/main" id="{00000000-0008-0000-0C00-000061010000}"/>
            </a:ext>
          </a:extLst>
        </xdr:cNvPr>
        <xdr:cNvSpPr>
          <a:spLocks noChangeShapeType="1"/>
        </xdr:cNvSpPr>
      </xdr:nvSpPr>
      <xdr:spPr bwMode="auto">
        <a:xfrm>
          <a:off x="4297680" y="35356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28</xdr:row>
      <xdr:rowOff>0</xdr:rowOff>
    </xdr:from>
    <xdr:to>
      <xdr:col>13</xdr:col>
      <xdr:colOff>7620</xdr:colOff>
      <xdr:row>28</xdr:row>
      <xdr:rowOff>0</xdr:rowOff>
    </xdr:to>
    <xdr:sp macro="" textlink="">
      <xdr:nvSpPr>
        <xdr:cNvPr id="354" name="Line 62">
          <a:extLst>
            <a:ext uri="{FF2B5EF4-FFF2-40B4-BE49-F238E27FC236}">
              <a16:creationId xmlns:a16="http://schemas.microsoft.com/office/drawing/2014/main" id="{00000000-0008-0000-0C00-000062010000}"/>
            </a:ext>
          </a:extLst>
        </xdr:cNvPr>
        <xdr:cNvSpPr>
          <a:spLocks noChangeShapeType="1"/>
        </xdr:cNvSpPr>
      </xdr:nvSpPr>
      <xdr:spPr bwMode="auto">
        <a:xfrm>
          <a:off x="4983480" y="3535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28</xdr:row>
      <xdr:rowOff>0</xdr:rowOff>
    </xdr:from>
    <xdr:to>
      <xdr:col>14</xdr:col>
      <xdr:colOff>7620</xdr:colOff>
      <xdr:row>28</xdr:row>
      <xdr:rowOff>0</xdr:rowOff>
    </xdr:to>
    <xdr:sp macro="" textlink="">
      <xdr:nvSpPr>
        <xdr:cNvPr id="355" name="Line 63">
          <a:extLst>
            <a:ext uri="{FF2B5EF4-FFF2-40B4-BE49-F238E27FC236}">
              <a16:creationId xmlns:a16="http://schemas.microsoft.com/office/drawing/2014/main" id="{00000000-0008-0000-0C00-000063010000}"/>
            </a:ext>
          </a:extLst>
        </xdr:cNvPr>
        <xdr:cNvSpPr>
          <a:spLocks noChangeShapeType="1"/>
        </xdr:cNvSpPr>
      </xdr:nvSpPr>
      <xdr:spPr bwMode="auto">
        <a:xfrm>
          <a:off x="5654040" y="35356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33</xdr:row>
      <xdr:rowOff>0</xdr:rowOff>
    </xdr:from>
    <xdr:to>
      <xdr:col>6</xdr:col>
      <xdr:colOff>7620</xdr:colOff>
      <xdr:row>33</xdr:row>
      <xdr:rowOff>0</xdr:rowOff>
    </xdr:to>
    <xdr:sp macro="" textlink="">
      <xdr:nvSpPr>
        <xdr:cNvPr id="356" name="Line 64">
          <a:extLst>
            <a:ext uri="{FF2B5EF4-FFF2-40B4-BE49-F238E27FC236}">
              <a16:creationId xmlns:a16="http://schemas.microsoft.com/office/drawing/2014/main" id="{00000000-0008-0000-0C00-000064010000}"/>
            </a:ext>
          </a:extLst>
        </xdr:cNvPr>
        <xdr:cNvSpPr>
          <a:spLocks noChangeShapeType="1"/>
        </xdr:cNvSpPr>
      </xdr:nvSpPr>
      <xdr:spPr bwMode="auto">
        <a:xfrm>
          <a:off x="495300" y="42214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33</xdr:row>
      <xdr:rowOff>0</xdr:rowOff>
    </xdr:from>
    <xdr:to>
      <xdr:col>7</xdr:col>
      <xdr:colOff>7620</xdr:colOff>
      <xdr:row>33</xdr:row>
      <xdr:rowOff>0</xdr:rowOff>
    </xdr:to>
    <xdr:sp macro="" textlink="">
      <xdr:nvSpPr>
        <xdr:cNvPr id="357" name="Line 65">
          <a:extLst>
            <a:ext uri="{FF2B5EF4-FFF2-40B4-BE49-F238E27FC236}">
              <a16:creationId xmlns:a16="http://schemas.microsoft.com/office/drawing/2014/main" id="{00000000-0008-0000-0C00-000065010000}"/>
            </a:ext>
          </a:extLst>
        </xdr:cNvPr>
        <xdr:cNvSpPr>
          <a:spLocks noChangeShapeType="1"/>
        </xdr:cNvSpPr>
      </xdr:nvSpPr>
      <xdr:spPr bwMode="auto">
        <a:xfrm>
          <a:off x="1082040" y="4221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33</xdr:row>
      <xdr:rowOff>0</xdr:rowOff>
    </xdr:from>
    <xdr:to>
      <xdr:col>8</xdr:col>
      <xdr:colOff>7620</xdr:colOff>
      <xdr:row>33</xdr:row>
      <xdr:rowOff>0</xdr:rowOff>
    </xdr:to>
    <xdr:sp macro="" textlink="">
      <xdr:nvSpPr>
        <xdr:cNvPr id="358" name="Line 66">
          <a:extLst>
            <a:ext uri="{FF2B5EF4-FFF2-40B4-BE49-F238E27FC236}">
              <a16:creationId xmlns:a16="http://schemas.microsoft.com/office/drawing/2014/main" id="{00000000-0008-0000-0C00-000066010000}"/>
            </a:ext>
          </a:extLst>
        </xdr:cNvPr>
        <xdr:cNvSpPr>
          <a:spLocks noChangeShapeType="1"/>
        </xdr:cNvSpPr>
      </xdr:nvSpPr>
      <xdr:spPr bwMode="auto">
        <a:xfrm>
          <a:off x="1752600" y="42214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33</xdr:row>
      <xdr:rowOff>0</xdr:rowOff>
    </xdr:from>
    <xdr:to>
      <xdr:col>9</xdr:col>
      <xdr:colOff>7620</xdr:colOff>
      <xdr:row>33</xdr:row>
      <xdr:rowOff>0</xdr:rowOff>
    </xdr:to>
    <xdr:sp macro="" textlink="">
      <xdr:nvSpPr>
        <xdr:cNvPr id="359" name="Line 67">
          <a:extLst>
            <a:ext uri="{FF2B5EF4-FFF2-40B4-BE49-F238E27FC236}">
              <a16:creationId xmlns:a16="http://schemas.microsoft.com/office/drawing/2014/main" id="{00000000-0008-0000-0C00-000067010000}"/>
            </a:ext>
          </a:extLst>
        </xdr:cNvPr>
        <xdr:cNvSpPr>
          <a:spLocks noChangeShapeType="1"/>
        </xdr:cNvSpPr>
      </xdr:nvSpPr>
      <xdr:spPr bwMode="auto">
        <a:xfrm>
          <a:off x="2438400" y="4221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33</xdr:row>
      <xdr:rowOff>0</xdr:rowOff>
    </xdr:from>
    <xdr:to>
      <xdr:col>10</xdr:col>
      <xdr:colOff>7620</xdr:colOff>
      <xdr:row>33</xdr:row>
      <xdr:rowOff>0</xdr:rowOff>
    </xdr:to>
    <xdr:sp macro="" textlink="">
      <xdr:nvSpPr>
        <xdr:cNvPr id="360" name="Line 68">
          <a:extLst>
            <a:ext uri="{FF2B5EF4-FFF2-40B4-BE49-F238E27FC236}">
              <a16:creationId xmlns:a16="http://schemas.microsoft.com/office/drawing/2014/main" id="{00000000-0008-0000-0C00-000068010000}"/>
            </a:ext>
          </a:extLst>
        </xdr:cNvPr>
        <xdr:cNvSpPr>
          <a:spLocks noChangeShapeType="1"/>
        </xdr:cNvSpPr>
      </xdr:nvSpPr>
      <xdr:spPr bwMode="auto">
        <a:xfrm>
          <a:off x="3108960" y="42214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33</xdr:row>
      <xdr:rowOff>0</xdr:rowOff>
    </xdr:from>
    <xdr:to>
      <xdr:col>11</xdr:col>
      <xdr:colOff>7620</xdr:colOff>
      <xdr:row>33</xdr:row>
      <xdr:rowOff>0</xdr:rowOff>
    </xdr:to>
    <xdr:sp macro="" textlink="">
      <xdr:nvSpPr>
        <xdr:cNvPr id="361" name="Line 69">
          <a:extLst>
            <a:ext uri="{FF2B5EF4-FFF2-40B4-BE49-F238E27FC236}">
              <a16:creationId xmlns:a16="http://schemas.microsoft.com/office/drawing/2014/main" id="{00000000-0008-0000-0C00-000069010000}"/>
            </a:ext>
          </a:extLst>
        </xdr:cNvPr>
        <xdr:cNvSpPr>
          <a:spLocks noChangeShapeType="1"/>
        </xdr:cNvSpPr>
      </xdr:nvSpPr>
      <xdr:spPr bwMode="auto">
        <a:xfrm>
          <a:off x="3627120" y="4221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33</xdr:row>
      <xdr:rowOff>0</xdr:rowOff>
    </xdr:from>
    <xdr:to>
      <xdr:col>12</xdr:col>
      <xdr:colOff>7620</xdr:colOff>
      <xdr:row>33</xdr:row>
      <xdr:rowOff>0</xdr:rowOff>
    </xdr:to>
    <xdr:sp macro="" textlink="">
      <xdr:nvSpPr>
        <xdr:cNvPr id="362" name="Line 70">
          <a:extLst>
            <a:ext uri="{FF2B5EF4-FFF2-40B4-BE49-F238E27FC236}">
              <a16:creationId xmlns:a16="http://schemas.microsoft.com/office/drawing/2014/main" id="{00000000-0008-0000-0C00-00006A010000}"/>
            </a:ext>
          </a:extLst>
        </xdr:cNvPr>
        <xdr:cNvSpPr>
          <a:spLocks noChangeShapeType="1"/>
        </xdr:cNvSpPr>
      </xdr:nvSpPr>
      <xdr:spPr bwMode="auto">
        <a:xfrm>
          <a:off x="4297680" y="42214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33</xdr:row>
      <xdr:rowOff>0</xdr:rowOff>
    </xdr:from>
    <xdr:to>
      <xdr:col>13</xdr:col>
      <xdr:colOff>7620</xdr:colOff>
      <xdr:row>33</xdr:row>
      <xdr:rowOff>0</xdr:rowOff>
    </xdr:to>
    <xdr:sp macro="" textlink="">
      <xdr:nvSpPr>
        <xdr:cNvPr id="363" name="Line 71">
          <a:extLst>
            <a:ext uri="{FF2B5EF4-FFF2-40B4-BE49-F238E27FC236}">
              <a16:creationId xmlns:a16="http://schemas.microsoft.com/office/drawing/2014/main" id="{00000000-0008-0000-0C00-00006B010000}"/>
            </a:ext>
          </a:extLst>
        </xdr:cNvPr>
        <xdr:cNvSpPr>
          <a:spLocks noChangeShapeType="1"/>
        </xdr:cNvSpPr>
      </xdr:nvSpPr>
      <xdr:spPr bwMode="auto">
        <a:xfrm>
          <a:off x="4983480" y="4221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33</xdr:row>
      <xdr:rowOff>0</xdr:rowOff>
    </xdr:from>
    <xdr:to>
      <xdr:col>14</xdr:col>
      <xdr:colOff>7620</xdr:colOff>
      <xdr:row>33</xdr:row>
      <xdr:rowOff>0</xdr:rowOff>
    </xdr:to>
    <xdr:sp macro="" textlink="">
      <xdr:nvSpPr>
        <xdr:cNvPr id="364" name="Line 72">
          <a:extLst>
            <a:ext uri="{FF2B5EF4-FFF2-40B4-BE49-F238E27FC236}">
              <a16:creationId xmlns:a16="http://schemas.microsoft.com/office/drawing/2014/main" id="{00000000-0008-0000-0C00-00006C010000}"/>
            </a:ext>
          </a:extLst>
        </xdr:cNvPr>
        <xdr:cNvSpPr>
          <a:spLocks noChangeShapeType="1"/>
        </xdr:cNvSpPr>
      </xdr:nvSpPr>
      <xdr:spPr bwMode="auto">
        <a:xfrm>
          <a:off x="5654040" y="42214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38</xdr:row>
      <xdr:rowOff>0</xdr:rowOff>
    </xdr:from>
    <xdr:to>
      <xdr:col>6</xdr:col>
      <xdr:colOff>7620</xdr:colOff>
      <xdr:row>38</xdr:row>
      <xdr:rowOff>0</xdr:rowOff>
    </xdr:to>
    <xdr:sp macro="" textlink="">
      <xdr:nvSpPr>
        <xdr:cNvPr id="365" name="Line 73">
          <a:extLst>
            <a:ext uri="{FF2B5EF4-FFF2-40B4-BE49-F238E27FC236}">
              <a16:creationId xmlns:a16="http://schemas.microsoft.com/office/drawing/2014/main" id="{00000000-0008-0000-0C00-00006D010000}"/>
            </a:ext>
          </a:extLst>
        </xdr:cNvPr>
        <xdr:cNvSpPr>
          <a:spLocks noChangeShapeType="1"/>
        </xdr:cNvSpPr>
      </xdr:nvSpPr>
      <xdr:spPr bwMode="auto">
        <a:xfrm>
          <a:off x="495300" y="49072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38</xdr:row>
      <xdr:rowOff>0</xdr:rowOff>
    </xdr:from>
    <xdr:to>
      <xdr:col>7</xdr:col>
      <xdr:colOff>7620</xdr:colOff>
      <xdr:row>38</xdr:row>
      <xdr:rowOff>0</xdr:rowOff>
    </xdr:to>
    <xdr:sp macro="" textlink="">
      <xdr:nvSpPr>
        <xdr:cNvPr id="366" name="Line 74">
          <a:extLst>
            <a:ext uri="{FF2B5EF4-FFF2-40B4-BE49-F238E27FC236}">
              <a16:creationId xmlns:a16="http://schemas.microsoft.com/office/drawing/2014/main" id="{00000000-0008-0000-0C00-00006E010000}"/>
            </a:ext>
          </a:extLst>
        </xdr:cNvPr>
        <xdr:cNvSpPr>
          <a:spLocks noChangeShapeType="1"/>
        </xdr:cNvSpPr>
      </xdr:nvSpPr>
      <xdr:spPr bwMode="auto">
        <a:xfrm>
          <a:off x="1082040" y="49072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38</xdr:row>
      <xdr:rowOff>0</xdr:rowOff>
    </xdr:from>
    <xdr:to>
      <xdr:col>8</xdr:col>
      <xdr:colOff>7620</xdr:colOff>
      <xdr:row>38</xdr:row>
      <xdr:rowOff>0</xdr:rowOff>
    </xdr:to>
    <xdr:sp macro="" textlink="">
      <xdr:nvSpPr>
        <xdr:cNvPr id="367" name="Line 75">
          <a:extLst>
            <a:ext uri="{FF2B5EF4-FFF2-40B4-BE49-F238E27FC236}">
              <a16:creationId xmlns:a16="http://schemas.microsoft.com/office/drawing/2014/main" id="{00000000-0008-0000-0C00-00006F010000}"/>
            </a:ext>
          </a:extLst>
        </xdr:cNvPr>
        <xdr:cNvSpPr>
          <a:spLocks noChangeShapeType="1"/>
        </xdr:cNvSpPr>
      </xdr:nvSpPr>
      <xdr:spPr bwMode="auto">
        <a:xfrm>
          <a:off x="1752600" y="49072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38</xdr:row>
      <xdr:rowOff>0</xdr:rowOff>
    </xdr:from>
    <xdr:to>
      <xdr:col>9</xdr:col>
      <xdr:colOff>7620</xdr:colOff>
      <xdr:row>38</xdr:row>
      <xdr:rowOff>0</xdr:rowOff>
    </xdr:to>
    <xdr:sp macro="" textlink="">
      <xdr:nvSpPr>
        <xdr:cNvPr id="368" name="Line 76">
          <a:extLst>
            <a:ext uri="{FF2B5EF4-FFF2-40B4-BE49-F238E27FC236}">
              <a16:creationId xmlns:a16="http://schemas.microsoft.com/office/drawing/2014/main" id="{00000000-0008-0000-0C00-000070010000}"/>
            </a:ext>
          </a:extLst>
        </xdr:cNvPr>
        <xdr:cNvSpPr>
          <a:spLocks noChangeShapeType="1"/>
        </xdr:cNvSpPr>
      </xdr:nvSpPr>
      <xdr:spPr bwMode="auto">
        <a:xfrm>
          <a:off x="2438400" y="49072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38</xdr:row>
      <xdr:rowOff>0</xdr:rowOff>
    </xdr:from>
    <xdr:to>
      <xdr:col>10</xdr:col>
      <xdr:colOff>7620</xdr:colOff>
      <xdr:row>38</xdr:row>
      <xdr:rowOff>0</xdr:rowOff>
    </xdr:to>
    <xdr:sp macro="" textlink="">
      <xdr:nvSpPr>
        <xdr:cNvPr id="369" name="Line 77">
          <a:extLst>
            <a:ext uri="{FF2B5EF4-FFF2-40B4-BE49-F238E27FC236}">
              <a16:creationId xmlns:a16="http://schemas.microsoft.com/office/drawing/2014/main" id="{00000000-0008-0000-0C00-000071010000}"/>
            </a:ext>
          </a:extLst>
        </xdr:cNvPr>
        <xdr:cNvSpPr>
          <a:spLocks noChangeShapeType="1"/>
        </xdr:cNvSpPr>
      </xdr:nvSpPr>
      <xdr:spPr bwMode="auto">
        <a:xfrm>
          <a:off x="3108960" y="49072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38</xdr:row>
      <xdr:rowOff>0</xdr:rowOff>
    </xdr:from>
    <xdr:to>
      <xdr:col>11</xdr:col>
      <xdr:colOff>7620</xdr:colOff>
      <xdr:row>38</xdr:row>
      <xdr:rowOff>0</xdr:rowOff>
    </xdr:to>
    <xdr:sp macro="" textlink="">
      <xdr:nvSpPr>
        <xdr:cNvPr id="370" name="Line 78">
          <a:extLst>
            <a:ext uri="{FF2B5EF4-FFF2-40B4-BE49-F238E27FC236}">
              <a16:creationId xmlns:a16="http://schemas.microsoft.com/office/drawing/2014/main" id="{00000000-0008-0000-0C00-000072010000}"/>
            </a:ext>
          </a:extLst>
        </xdr:cNvPr>
        <xdr:cNvSpPr>
          <a:spLocks noChangeShapeType="1"/>
        </xdr:cNvSpPr>
      </xdr:nvSpPr>
      <xdr:spPr bwMode="auto">
        <a:xfrm>
          <a:off x="3627120" y="49072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38</xdr:row>
      <xdr:rowOff>0</xdr:rowOff>
    </xdr:from>
    <xdr:to>
      <xdr:col>12</xdr:col>
      <xdr:colOff>7620</xdr:colOff>
      <xdr:row>38</xdr:row>
      <xdr:rowOff>0</xdr:rowOff>
    </xdr:to>
    <xdr:sp macro="" textlink="">
      <xdr:nvSpPr>
        <xdr:cNvPr id="371" name="Line 79">
          <a:extLst>
            <a:ext uri="{FF2B5EF4-FFF2-40B4-BE49-F238E27FC236}">
              <a16:creationId xmlns:a16="http://schemas.microsoft.com/office/drawing/2014/main" id="{00000000-0008-0000-0C00-000073010000}"/>
            </a:ext>
          </a:extLst>
        </xdr:cNvPr>
        <xdr:cNvSpPr>
          <a:spLocks noChangeShapeType="1"/>
        </xdr:cNvSpPr>
      </xdr:nvSpPr>
      <xdr:spPr bwMode="auto">
        <a:xfrm>
          <a:off x="4297680" y="49072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38</xdr:row>
      <xdr:rowOff>0</xdr:rowOff>
    </xdr:from>
    <xdr:to>
      <xdr:col>13</xdr:col>
      <xdr:colOff>7620</xdr:colOff>
      <xdr:row>38</xdr:row>
      <xdr:rowOff>0</xdr:rowOff>
    </xdr:to>
    <xdr:sp macro="" textlink="">
      <xdr:nvSpPr>
        <xdr:cNvPr id="372" name="Line 80">
          <a:extLst>
            <a:ext uri="{FF2B5EF4-FFF2-40B4-BE49-F238E27FC236}">
              <a16:creationId xmlns:a16="http://schemas.microsoft.com/office/drawing/2014/main" id="{00000000-0008-0000-0C00-000074010000}"/>
            </a:ext>
          </a:extLst>
        </xdr:cNvPr>
        <xdr:cNvSpPr>
          <a:spLocks noChangeShapeType="1"/>
        </xdr:cNvSpPr>
      </xdr:nvSpPr>
      <xdr:spPr bwMode="auto">
        <a:xfrm>
          <a:off x="4983480" y="49072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38</xdr:row>
      <xdr:rowOff>0</xdr:rowOff>
    </xdr:from>
    <xdr:to>
      <xdr:col>14</xdr:col>
      <xdr:colOff>7620</xdr:colOff>
      <xdr:row>38</xdr:row>
      <xdr:rowOff>0</xdr:rowOff>
    </xdr:to>
    <xdr:sp macro="" textlink="">
      <xdr:nvSpPr>
        <xdr:cNvPr id="373" name="Line 81">
          <a:extLst>
            <a:ext uri="{FF2B5EF4-FFF2-40B4-BE49-F238E27FC236}">
              <a16:creationId xmlns:a16="http://schemas.microsoft.com/office/drawing/2014/main" id="{00000000-0008-0000-0C00-000075010000}"/>
            </a:ext>
          </a:extLst>
        </xdr:cNvPr>
        <xdr:cNvSpPr>
          <a:spLocks noChangeShapeType="1"/>
        </xdr:cNvSpPr>
      </xdr:nvSpPr>
      <xdr:spPr bwMode="auto">
        <a:xfrm>
          <a:off x="5654040" y="49072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43</xdr:row>
      <xdr:rowOff>0</xdr:rowOff>
    </xdr:from>
    <xdr:to>
      <xdr:col>6</xdr:col>
      <xdr:colOff>7620</xdr:colOff>
      <xdr:row>43</xdr:row>
      <xdr:rowOff>0</xdr:rowOff>
    </xdr:to>
    <xdr:sp macro="" textlink="">
      <xdr:nvSpPr>
        <xdr:cNvPr id="374" name="Line 82">
          <a:extLst>
            <a:ext uri="{FF2B5EF4-FFF2-40B4-BE49-F238E27FC236}">
              <a16:creationId xmlns:a16="http://schemas.microsoft.com/office/drawing/2014/main" id="{00000000-0008-0000-0C00-000076010000}"/>
            </a:ext>
          </a:extLst>
        </xdr:cNvPr>
        <xdr:cNvSpPr>
          <a:spLocks noChangeShapeType="1"/>
        </xdr:cNvSpPr>
      </xdr:nvSpPr>
      <xdr:spPr bwMode="auto">
        <a:xfrm>
          <a:off x="495300" y="55930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43</xdr:row>
      <xdr:rowOff>0</xdr:rowOff>
    </xdr:from>
    <xdr:to>
      <xdr:col>7</xdr:col>
      <xdr:colOff>7620</xdr:colOff>
      <xdr:row>43</xdr:row>
      <xdr:rowOff>0</xdr:rowOff>
    </xdr:to>
    <xdr:sp macro="" textlink="">
      <xdr:nvSpPr>
        <xdr:cNvPr id="375" name="Line 83">
          <a:extLst>
            <a:ext uri="{FF2B5EF4-FFF2-40B4-BE49-F238E27FC236}">
              <a16:creationId xmlns:a16="http://schemas.microsoft.com/office/drawing/2014/main" id="{00000000-0008-0000-0C00-000077010000}"/>
            </a:ext>
          </a:extLst>
        </xdr:cNvPr>
        <xdr:cNvSpPr>
          <a:spLocks noChangeShapeType="1"/>
        </xdr:cNvSpPr>
      </xdr:nvSpPr>
      <xdr:spPr bwMode="auto">
        <a:xfrm>
          <a:off x="1082040" y="55930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43</xdr:row>
      <xdr:rowOff>0</xdr:rowOff>
    </xdr:from>
    <xdr:to>
      <xdr:col>8</xdr:col>
      <xdr:colOff>7620</xdr:colOff>
      <xdr:row>43</xdr:row>
      <xdr:rowOff>0</xdr:rowOff>
    </xdr:to>
    <xdr:sp macro="" textlink="">
      <xdr:nvSpPr>
        <xdr:cNvPr id="376" name="Line 84">
          <a:extLst>
            <a:ext uri="{FF2B5EF4-FFF2-40B4-BE49-F238E27FC236}">
              <a16:creationId xmlns:a16="http://schemas.microsoft.com/office/drawing/2014/main" id="{00000000-0008-0000-0C00-000078010000}"/>
            </a:ext>
          </a:extLst>
        </xdr:cNvPr>
        <xdr:cNvSpPr>
          <a:spLocks noChangeShapeType="1"/>
        </xdr:cNvSpPr>
      </xdr:nvSpPr>
      <xdr:spPr bwMode="auto">
        <a:xfrm>
          <a:off x="1752600" y="55930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43</xdr:row>
      <xdr:rowOff>0</xdr:rowOff>
    </xdr:from>
    <xdr:to>
      <xdr:col>9</xdr:col>
      <xdr:colOff>7620</xdr:colOff>
      <xdr:row>43</xdr:row>
      <xdr:rowOff>0</xdr:rowOff>
    </xdr:to>
    <xdr:sp macro="" textlink="">
      <xdr:nvSpPr>
        <xdr:cNvPr id="377" name="Line 85">
          <a:extLst>
            <a:ext uri="{FF2B5EF4-FFF2-40B4-BE49-F238E27FC236}">
              <a16:creationId xmlns:a16="http://schemas.microsoft.com/office/drawing/2014/main" id="{00000000-0008-0000-0C00-000079010000}"/>
            </a:ext>
          </a:extLst>
        </xdr:cNvPr>
        <xdr:cNvSpPr>
          <a:spLocks noChangeShapeType="1"/>
        </xdr:cNvSpPr>
      </xdr:nvSpPr>
      <xdr:spPr bwMode="auto">
        <a:xfrm>
          <a:off x="2438400" y="55930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43</xdr:row>
      <xdr:rowOff>0</xdr:rowOff>
    </xdr:from>
    <xdr:to>
      <xdr:col>10</xdr:col>
      <xdr:colOff>7620</xdr:colOff>
      <xdr:row>43</xdr:row>
      <xdr:rowOff>0</xdr:rowOff>
    </xdr:to>
    <xdr:sp macro="" textlink="">
      <xdr:nvSpPr>
        <xdr:cNvPr id="378" name="Line 86">
          <a:extLst>
            <a:ext uri="{FF2B5EF4-FFF2-40B4-BE49-F238E27FC236}">
              <a16:creationId xmlns:a16="http://schemas.microsoft.com/office/drawing/2014/main" id="{00000000-0008-0000-0C00-00007A010000}"/>
            </a:ext>
          </a:extLst>
        </xdr:cNvPr>
        <xdr:cNvSpPr>
          <a:spLocks noChangeShapeType="1"/>
        </xdr:cNvSpPr>
      </xdr:nvSpPr>
      <xdr:spPr bwMode="auto">
        <a:xfrm>
          <a:off x="3108960" y="55930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43</xdr:row>
      <xdr:rowOff>0</xdr:rowOff>
    </xdr:from>
    <xdr:to>
      <xdr:col>11</xdr:col>
      <xdr:colOff>7620</xdr:colOff>
      <xdr:row>43</xdr:row>
      <xdr:rowOff>0</xdr:rowOff>
    </xdr:to>
    <xdr:sp macro="" textlink="">
      <xdr:nvSpPr>
        <xdr:cNvPr id="379" name="Line 87">
          <a:extLst>
            <a:ext uri="{FF2B5EF4-FFF2-40B4-BE49-F238E27FC236}">
              <a16:creationId xmlns:a16="http://schemas.microsoft.com/office/drawing/2014/main" id="{00000000-0008-0000-0C00-00007B010000}"/>
            </a:ext>
          </a:extLst>
        </xdr:cNvPr>
        <xdr:cNvSpPr>
          <a:spLocks noChangeShapeType="1"/>
        </xdr:cNvSpPr>
      </xdr:nvSpPr>
      <xdr:spPr bwMode="auto">
        <a:xfrm>
          <a:off x="3627120" y="55930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43</xdr:row>
      <xdr:rowOff>0</xdr:rowOff>
    </xdr:from>
    <xdr:to>
      <xdr:col>12</xdr:col>
      <xdr:colOff>7620</xdr:colOff>
      <xdr:row>43</xdr:row>
      <xdr:rowOff>0</xdr:rowOff>
    </xdr:to>
    <xdr:sp macro="" textlink="">
      <xdr:nvSpPr>
        <xdr:cNvPr id="380" name="Line 88">
          <a:extLst>
            <a:ext uri="{FF2B5EF4-FFF2-40B4-BE49-F238E27FC236}">
              <a16:creationId xmlns:a16="http://schemas.microsoft.com/office/drawing/2014/main" id="{00000000-0008-0000-0C00-00007C010000}"/>
            </a:ext>
          </a:extLst>
        </xdr:cNvPr>
        <xdr:cNvSpPr>
          <a:spLocks noChangeShapeType="1"/>
        </xdr:cNvSpPr>
      </xdr:nvSpPr>
      <xdr:spPr bwMode="auto">
        <a:xfrm>
          <a:off x="4297680" y="55930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43</xdr:row>
      <xdr:rowOff>0</xdr:rowOff>
    </xdr:from>
    <xdr:to>
      <xdr:col>13</xdr:col>
      <xdr:colOff>7620</xdr:colOff>
      <xdr:row>43</xdr:row>
      <xdr:rowOff>0</xdr:rowOff>
    </xdr:to>
    <xdr:sp macro="" textlink="">
      <xdr:nvSpPr>
        <xdr:cNvPr id="381" name="Line 89">
          <a:extLst>
            <a:ext uri="{FF2B5EF4-FFF2-40B4-BE49-F238E27FC236}">
              <a16:creationId xmlns:a16="http://schemas.microsoft.com/office/drawing/2014/main" id="{00000000-0008-0000-0C00-00007D010000}"/>
            </a:ext>
          </a:extLst>
        </xdr:cNvPr>
        <xdr:cNvSpPr>
          <a:spLocks noChangeShapeType="1"/>
        </xdr:cNvSpPr>
      </xdr:nvSpPr>
      <xdr:spPr bwMode="auto">
        <a:xfrm>
          <a:off x="4983480" y="55930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43</xdr:row>
      <xdr:rowOff>0</xdr:rowOff>
    </xdr:from>
    <xdr:to>
      <xdr:col>14</xdr:col>
      <xdr:colOff>7620</xdr:colOff>
      <xdr:row>43</xdr:row>
      <xdr:rowOff>0</xdr:rowOff>
    </xdr:to>
    <xdr:sp macro="" textlink="">
      <xdr:nvSpPr>
        <xdr:cNvPr id="566" name="Line 90">
          <a:extLst>
            <a:ext uri="{FF2B5EF4-FFF2-40B4-BE49-F238E27FC236}">
              <a16:creationId xmlns:a16="http://schemas.microsoft.com/office/drawing/2014/main" id="{00000000-0008-0000-0C00-000036020000}"/>
            </a:ext>
          </a:extLst>
        </xdr:cNvPr>
        <xdr:cNvSpPr>
          <a:spLocks noChangeShapeType="1"/>
        </xdr:cNvSpPr>
      </xdr:nvSpPr>
      <xdr:spPr bwMode="auto">
        <a:xfrm>
          <a:off x="5654040" y="55930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48</xdr:row>
      <xdr:rowOff>0</xdr:rowOff>
    </xdr:from>
    <xdr:to>
      <xdr:col>6</xdr:col>
      <xdr:colOff>7620</xdr:colOff>
      <xdr:row>48</xdr:row>
      <xdr:rowOff>0</xdr:rowOff>
    </xdr:to>
    <xdr:sp macro="" textlink="">
      <xdr:nvSpPr>
        <xdr:cNvPr id="567" name="Line 91">
          <a:extLst>
            <a:ext uri="{FF2B5EF4-FFF2-40B4-BE49-F238E27FC236}">
              <a16:creationId xmlns:a16="http://schemas.microsoft.com/office/drawing/2014/main" id="{00000000-0008-0000-0C00-000037020000}"/>
            </a:ext>
          </a:extLst>
        </xdr:cNvPr>
        <xdr:cNvSpPr>
          <a:spLocks noChangeShapeType="1"/>
        </xdr:cNvSpPr>
      </xdr:nvSpPr>
      <xdr:spPr bwMode="auto">
        <a:xfrm>
          <a:off x="495300" y="62788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48</xdr:row>
      <xdr:rowOff>0</xdr:rowOff>
    </xdr:from>
    <xdr:to>
      <xdr:col>7</xdr:col>
      <xdr:colOff>7620</xdr:colOff>
      <xdr:row>48</xdr:row>
      <xdr:rowOff>0</xdr:rowOff>
    </xdr:to>
    <xdr:sp macro="" textlink="">
      <xdr:nvSpPr>
        <xdr:cNvPr id="568" name="Line 92">
          <a:extLst>
            <a:ext uri="{FF2B5EF4-FFF2-40B4-BE49-F238E27FC236}">
              <a16:creationId xmlns:a16="http://schemas.microsoft.com/office/drawing/2014/main" id="{00000000-0008-0000-0C00-000038020000}"/>
            </a:ext>
          </a:extLst>
        </xdr:cNvPr>
        <xdr:cNvSpPr>
          <a:spLocks noChangeShapeType="1"/>
        </xdr:cNvSpPr>
      </xdr:nvSpPr>
      <xdr:spPr bwMode="auto">
        <a:xfrm>
          <a:off x="1082040" y="6278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48</xdr:row>
      <xdr:rowOff>0</xdr:rowOff>
    </xdr:from>
    <xdr:to>
      <xdr:col>8</xdr:col>
      <xdr:colOff>7620</xdr:colOff>
      <xdr:row>48</xdr:row>
      <xdr:rowOff>0</xdr:rowOff>
    </xdr:to>
    <xdr:sp macro="" textlink="">
      <xdr:nvSpPr>
        <xdr:cNvPr id="569" name="Line 93">
          <a:extLst>
            <a:ext uri="{FF2B5EF4-FFF2-40B4-BE49-F238E27FC236}">
              <a16:creationId xmlns:a16="http://schemas.microsoft.com/office/drawing/2014/main" id="{00000000-0008-0000-0C00-000039020000}"/>
            </a:ext>
          </a:extLst>
        </xdr:cNvPr>
        <xdr:cNvSpPr>
          <a:spLocks noChangeShapeType="1"/>
        </xdr:cNvSpPr>
      </xdr:nvSpPr>
      <xdr:spPr bwMode="auto">
        <a:xfrm>
          <a:off x="1752600" y="62788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48</xdr:row>
      <xdr:rowOff>0</xdr:rowOff>
    </xdr:from>
    <xdr:to>
      <xdr:col>9</xdr:col>
      <xdr:colOff>7620</xdr:colOff>
      <xdr:row>48</xdr:row>
      <xdr:rowOff>0</xdr:rowOff>
    </xdr:to>
    <xdr:sp macro="" textlink="">
      <xdr:nvSpPr>
        <xdr:cNvPr id="570" name="Line 94">
          <a:extLst>
            <a:ext uri="{FF2B5EF4-FFF2-40B4-BE49-F238E27FC236}">
              <a16:creationId xmlns:a16="http://schemas.microsoft.com/office/drawing/2014/main" id="{00000000-0008-0000-0C00-00003A020000}"/>
            </a:ext>
          </a:extLst>
        </xdr:cNvPr>
        <xdr:cNvSpPr>
          <a:spLocks noChangeShapeType="1"/>
        </xdr:cNvSpPr>
      </xdr:nvSpPr>
      <xdr:spPr bwMode="auto">
        <a:xfrm>
          <a:off x="2438400" y="6278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48</xdr:row>
      <xdr:rowOff>0</xdr:rowOff>
    </xdr:from>
    <xdr:to>
      <xdr:col>10</xdr:col>
      <xdr:colOff>7620</xdr:colOff>
      <xdr:row>48</xdr:row>
      <xdr:rowOff>0</xdr:rowOff>
    </xdr:to>
    <xdr:sp macro="" textlink="">
      <xdr:nvSpPr>
        <xdr:cNvPr id="571" name="Line 95">
          <a:extLst>
            <a:ext uri="{FF2B5EF4-FFF2-40B4-BE49-F238E27FC236}">
              <a16:creationId xmlns:a16="http://schemas.microsoft.com/office/drawing/2014/main" id="{00000000-0008-0000-0C00-00003B020000}"/>
            </a:ext>
          </a:extLst>
        </xdr:cNvPr>
        <xdr:cNvSpPr>
          <a:spLocks noChangeShapeType="1"/>
        </xdr:cNvSpPr>
      </xdr:nvSpPr>
      <xdr:spPr bwMode="auto">
        <a:xfrm>
          <a:off x="3108960" y="62788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48</xdr:row>
      <xdr:rowOff>0</xdr:rowOff>
    </xdr:from>
    <xdr:to>
      <xdr:col>11</xdr:col>
      <xdr:colOff>7620</xdr:colOff>
      <xdr:row>48</xdr:row>
      <xdr:rowOff>0</xdr:rowOff>
    </xdr:to>
    <xdr:sp macro="" textlink="">
      <xdr:nvSpPr>
        <xdr:cNvPr id="572" name="Line 96">
          <a:extLst>
            <a:ext uri="{FF2B5EF4-FFF2-40B4-BE49-F238E27FC236}">
              <a16:creationId xmlns:a16="http://schemas.microsoft.com/office/drawing/2014/main" id="{00000000-0008-0000-0C00-00003C020000}"/>
            </a:ext>
          </a:extLst>
        </xdr:cNvPr>
        <xdr:cNvSpPr>
          <a:spLocks noChangeShapeType="1"/>
        </xdr:cNvSpPr>
      </xdr:nvSpPr>
      <xdr:spPr bwMode="auto">
        <a:xfrm>
          <a:off x="3627120" y="6278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48</xdr:row>
      <xdr:rowOff>0</xdr:rowOff>
    </xdr:from>
    <xdr:to>
      <xdr:col>12</xdr:col>
      <xdr:colOff>7620</xdr:colOff>
      <xdr:row>48</xdr:row>
      <xdr:rowOff>0</xdr:rowOff>
    </xdr:to>
    <xdr:sp macro="" textlink="">
      <xdr:nvSpPr>
        <xdr:cNvPr id="573" name="Line 97">
          <a:extLst>
            <a:ext uri="{FF2B5EF4-FFF2-40B4-BE49-F238E27FC236}">
              <a16:creationId xmlns:a16="http://schemas.microsoft.com/office/drawing/2014/main" id="{00000000-0008-0000-0C00-00003D020000}"/>
            </a:ext>
          </a:extLst>
        </xdr:cNvPr>
        <xdr:cNvSpPr>
          <a:spLocks noChangeShapeType="1"/>
        </xdr:cNvSpPr>
      </xdr:nvSpPr>
      <xdr:spPr bwMode="auto">
        <a:xfrm>
          <a:off x="4297680" y="62788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48</xdr:row>
      <xdr:rowOff>0</xdr:rowOff>
    </xdr:from>
    <xdr:to>
      <xdr:col>13</xdr:col>
      <xdr:colOff>7620</xdr:colOff>
      <xdr:row>48</xdr:row>
      <xdr:rowOff>0</xdr:rowOff>
    </xdr:to>
    <xdr:sp macro="" textlink="">
      <xdr:nvSpPr>
        <xdr:cNvPr id="574" name="Line 98">
          <a:extLst>
            <a:ext uri="{FF2B5EF4-FFF2-40B4-BE49-F238E27FC236}">
              <a16:creationId xmlns:a16="http://schemas.microsoft.com/office/drawing/2014/main" id="{00000000-0008-0000-0C00-00003E020000}"/>
            </a:ext>
          </a:extLst>
        </xdr:cNvPr>
        <xdr:cNvSpPr>
          <a:spLocks noChangeShapeType="1"/>
        </xdr:cNvSpPr>
      </xdr:nvSpPr>
      <xdr:spPr bwMode="auto">
        <a:xfrm>
          <a:off x="4983480" y="62788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48</xdr:row>
      <xdr:rowOff>0</xdr:rowOff>
    </xdr:from>
    <xdr:to>
      <xdr:col>14</xdr:col>
      <xdr:colOff>7620</xdr:colOff>
      <xdr:row>48</xdr:row>
      <xdr:rowOff>0</xdr:rowOff>
    </xdr:to>
    <xdr:sp macro="" textlink="">
      <xdr:nvSpPr>
        <xdr:cNvPr id="575" name="Line 99">
          <a:extLst>
            <a:ext uri="{FF2B5EF4-FFF2-40B4-BE49-F238E27FC236}">
              <a16:creationId xmlns:a16="http://schemas.microsoft.com/office/drawing/2014/main" id="{00000000-0008-0000-0C00-00003F020000}"/>
            </a:ext>
          </a:extLst>
        </xdr:cNvPr>
        <xdr:cNvSpPr>
          <a:spLocks noChangeShapeType="1"/>
        </xdr:cNvSpPr>
      </xdr:nvSpPr>
      <xdr:spPr bwMode="auto">
        <a:xfrm>
          <a:off x="5654040" y="62788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53</xdr:row>
      <xdr:rowOff>0</xdr:rowOff>
    </xdr:from>
    <xdr:to>
      <xdr:col>6</xdr:col>
      <xdr:colOff>7620</xdr:colOff>
      <xdr:row>53</xdr:row>
      <xdr:rowOff>0</xdr:rowOff>
    </xdr:to>
    <xdr:sp macro="" textlink="">
      <xdr:nvSpPr>
        <xdr:cNvPr id="960" name="Line 100">
          <a:extLst>
            <a:ext uri="{FF2B5EF4-FFF2-40B4-BE49-F238E27FC236}">
              <a16:creationId xmlns:a16="http://schemas.microsoft.com/office/drawing/2014/main" id="{00000000-0008-0000-0C00-0000C0030000}"/>
            </a:ext>
          </a:extLst>
        </xdr:cNvPr>
        <xdr:cNvSpPr>
          <a:spLocks noChangeShapeType="1"/>
        </xdr:cNvSpPr>
      </xdr:nvSpPr>
      <xdr:spPr bwMode="auto">
        <a:xfrm>
          <a:off x="495300" y="69646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53</xdr:row>
      <xdr:rowOff>0</xdr:rowOff>
    </xdr:from>
    <xdr:to>
      <xdr:col>7</xdr:col>
      <xdr:colOff>7620</xdr:colOff>
      <xdr:row>53</xdr:row>
      <xdr:rowOff>0</xdr:rowOff>
    </xdr:to>
    <xdr:sp macro="" textlink="">
      <xdr:nvSpPr>
        <xdr:cNvPr id="961" name="Line 101">
          <a:extLst>
            <a:ext uri="{FF2B5EF4-FFF2-40B4-BE49-F238E27FC236}">
              <a16:creationId xmlns:a16="http://schemas.microsoft.com/office/drawing/2014/main" id="{00000000-0008-0000-0C00-0000C1030000}"/>
            </a:ext>
          </a:extLst>
        </xdr:cNvPr>
        <xdr:cNvSpPr>
          <a:spLocks noChangeShapeType="1"/>
        </xdr:cNvSpPr>
      </xdr:nvSpPr>
      <xdr:spPr bwMode="auto">
        <a:xfrm>
          <a:off x="1082040" y="6964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53</xdr:row>
      <xdr:rowOff>0</xdr:rowOff>
    </xdr:from>
    <xdr:to>
      <xdr:col>8</xdr:col>
      <xdr:colOff>7620</xdr:colOff>
      <xdr:row>53</xdr:row>
      <xdr:rowOff>0</xdr:rowOff>
    </xdr:to>
    <xdr:sp macro="" textlink="">
      <xdr:nvSpPr>
        <xdr:cNvPr id="962" name="Line 102">
          <a:extLst>
            <a:ext uri="{FF2B5EF4-FFF2-40B4-BE49-F238E27FC236}">
              <a16:creationId xmlns:a16="http://schemas.microsoft.com/office/drawing/2014/main" id="{00000000-0008-0000-0C00-0000C2030000}"/>
            </a:ext>
          </a:extLst>
        </xdr:cNvPr>
        <xdr:cNvSpPr>
          <a:spLocks noChangeShapeType="1"/>
        </xdr:cNvSpPr>
      </xdr:nvSpPr>
      <xdr:spPr bwMode="auto">
        <a:xfrm>
          <a:off x="1752600" y="69646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53</xdr:row>
      <xdr:rowOff>0</xdr:rowOff>
    </xdr:from>
    <xdr:to>
      <xdr:col>9</xdr:col>
      <xdr:colOff>7620</xdr:colOff>
      <xdr:row>53</xdr:row>
      <xdr:rowOff>0</xdr:rowOff>
    </xdr:to>
    <xdr:sp macro="" textlink="">
      <xdr:nvSpPr>
        <xdr:cNvPr id="963" name="Line 103">
          <a:extLst>
            <a:ext uri="{FF2B5EF4-FFF2-40B4-BE49-F238E27FC236}">
              <a16:creationId xmlns:a16="http://schemas.microsoft.com/office/drawing/2014/main" id="{00000000-0008-0000-0C00-0000C3030000}"/>
            </a:ext>
          </a:extLst>
        </xdr:cNvPr>
        <xdr:cNvSpPr>
          <a:spLocks noChangeShapeType="1"/>
        </xdr:cNvSpPr>
      </xdr:nvSpPr>
      <xdr:spPr bwMode="auto">
        <a:xfrm>
          <a:off x="2438400" y="6964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53</xdr:row>
      <xdr:rowOff>0</xdr:rowOff>
    </xdr:from>
    <xdr:to>
      <xdr:col>10</xdr:col>
      <xdr:colOff>7620</xdr:colOff>
      <xdr:row>53</xdr:row>
      <xdr:rowOff>0</xdr:rowOff>
    </xdr:to>
    <xdr:sp macro="" textlink="">
      <xdr:nvSpPr>
        <xdr:cNvPr id="964" name="Line 104">
          <a:extLst>
            <a:ext uri="{FF2B5EF4-FFF2-40B4-BE49-F238E27FC236}">
              <a16:creationId xmlns:a16="http://schemas.microsoft.com/office/drawing/2014/main" id="{00000000-0008-0000-0C00-0000C4030000}"/>
            </a:ext>
          </a:extLst>
        </xdr:cNvPr>
        <xdr:cNvSpPr>
          <a:spLocks noChangeShapeType="1"/>
        </xdr:cNvSpPr>
      </xdr:nvSpPr>
      <xdr:spPr bwMode="auto">
        <a:xfrm>
          <a:off x="3108960" y="69646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53</xdr:row>
      <xdr:rowOff>0</xdr:rowOff>
    </xdr:from>
    <xdr:to>
      <xdr:col>11</xdr:col>
      <xdr:colOff>7620</xdr:colOff>
      <xdr:row>53</xdr:row>
      <xdr:rowOff>0</xdr:rowOff>
    </xdr:to>
    <xdr:sp macro="" textlink="">
      <xdr:nvSpPr>
        <xdr:cNvPr id="965" name="Line 105">
          <a:extLst>
            <a:ext uri="{FF2B5EF4-FFF2-40B4-BE49-F238E27FC236}">
              <a16:creationId xmlns:a16="http://schemas.microsoft.com/office/drawing/2014/main" id="{00000000-0008-0000-0C00-0000C5030000}"/>
            </a:ext>
          </a:extLst>
        </xdr:cNvPr>
        <xdr:cNvSpPr>
          <a:spLocks noChangeShapeType="1"/>
        </xdr:cNvSpPr>
      </xdr:nvSpPr>
      <xdr:spPr bwMode="auto">
        <a:xfrm>
          <a:off x="3627120" y="6964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53</xdr:row>
      <xdr:rowOff>0</xdr:rowOff>
    </xdr:from>
    <xdr:to>
      <xdr:col>12</xdr:col>
      <xdr:colOff>7620</xdr:colOff>
      <xdr:row>53</xdr:row>
      <xdr:rowOff>0</xdr:rowOff>
    </xdr:to>
    <xdr:sp macro="" textlink="">
      <xdr:nvSpPr>
        <xdr:cNvPr id="966" name="Line 106">
          <a:extLst>
            <a:ext uri="{FF2B5EF4-FFF2-40B4-BE49-F238E27FC236}">
              <a16:creationId xmlns:a16="http://schemas.microsoft.com/office/drawing/2014/main" id="{00000000-0008-0000-0C00-0000C6030000}"/>
            </a:ext>
          </a:extLst>
        </xdr:cNvPr>
        <xdr:cNvSpPr>
          <a:spLocks noChangeShapeType="1"/>
        </xdr:cNvSpPr>
      </xdr:nvSpPr>
      <xdr:spPr bwMode="auto">
        <a:xfrm>
          <a:off x="4297680" y="69646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53</xdr:row>
      <xdr:rowOff>0</xdr:rowOff>
    </xdr:from>
    <xdr:to>
      <xdr:col>13</xdr:col>
      <xdr:colOff>7620</xdr:colOff>
      <xdr:row>53</xdr:row>
      <xdr:rowOff>0</xdr:rowOff>
    </xdr:to>
    <xdr:sp macro="" textlink="">
      <xdr:nvSpPr>
        <xdr:cNvPr id="967" name="Line 107">
          <a:extLst>
            <a:ext uri="{FF2B5EF4-FFF2-40B4-BE49-F238E27FC236}">
              <a16:creationId xmlns:a16="http://schemas.microsoft.com/office/drawing/2014/main" id="{00000000-0008-0000-0C00-0000C7030000}"/>
            </a:ext>
          </a:extLst>
        </xdr:cNvPr>
        <xdr:cNvSpPr>
          <a:spLocks noChangeShapeType="1"/>
        </xdr:cNvSpPr>
      </xdr:nvSpPr>
      <xdr:spPr bwMode="auto">
        <a:xfrm>
          <a:off x="4983480" y="69646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53</xdr:row>
      <xdr:rowOff>0</xdr:rowOff>
    </xdr:from>
    <xdr:to>
      <xdr:col>14</xdr:col>
      <xdr:colOff>7620</xdr:colOff>
      <xdr:row>53</xdr:row>
      <xdr:rowOff>0</xdr:rowOff>
    </xdr:to>
    <xdr:sp macro="" textlink="">
      <xdr:nvSpPr>
        <xdr:cNvPr id="968" name="Line 108">
          <a:extLst>
            <a:ext uri="{FF2B5EF4-FFF2-40B4-BE49-F238E27FC236}">
              <a16:creationId xmlns:a16="http://schemas.microsoft.com/office/drawing/2014/main" id="{00000000-0008-0000-0C00-0000C8030000}"/>
            </a:ext>
          </a:extLst>
        </xdr:cNvPr>
        <xdr:cNvSpPr>
          <a:spLocks noChangeShapeType="1"/>
        </xdr:cNvSpPr>
      </xdr:nvSpPr>
      <xdr:spPr bwMode="auto">
        <a:xfrm>
          <a:off x="5654040" y="69646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58</xdr:row>
      <xdr:rowOff>0</xdr:rowOff>
    </xdr:from>
    <xdr:to>
      <xdr:col>6</xdr:col>
      <xdr:colOff>7620</xdr:colOff>
      <xdr:row>58</xdr:row>
      <xdr:rowOff>0</xdr:rowOff>
    </xdr:to>
    <xdr:sp macro="" textlink="">
      <xdr:nvSpPr>
        <xdr:cNvPr id="969" name="Line 109">
          <a:extLst>
            <a:ext uri="{FF2B5EF4-FFF2-40B4-BE49-F238E27FC236}">
              <a16:creationId xmlns:a16="http://schemas.microsoft.com/office/drawing/2014/main" id="{00000000-0008-0000-0C00-0000C9030000}"/>
            </a:ext>
          </a:extLst>
        </xdr:cNvPr>
        <xdr:cNvSpPr>
          <a:spLocks noChangeShapeType="1"/>
        </xdr:cNvSpPr>
      </xdr:nvSpPr>
      <xdr:spPr bwMode="auto">
        <a:xfrm>
          <a:off x="495300" y="76504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58</xdr:row>
      <xdr:rowOff>0</xdr:rowOff>
    </xdr:from>
    <xdr:to>
      <xdr:col>7</xdr:col>
      <xdr:colOff>7620</xdr:colOff>
      <xdr:row>58</xdr:row>
      <xdr:rowOff>0</xdr:rowOff>
    </xdr:to>
    <xdr:sp macro="" textlink="">
      <xdr:nvSpPr>
        <xdr:cNvPr id="970" name="Line 110">
          <a:extLst>
            <a:ext uri="{FF2B5EF4-FFF2-40B4-BE49-F238E27FC236}">
              <a16:creationId xmlns:a16="http://schemas.microsoft.com/office/drawing/2014/main" id="{00000000-0008-0000-0C00-0000CA030000}"/>
            </a:ext>
          </a:extLst>
        </xdr:cNvPr>
        <xdr:cNvSpPr>
          <a:spLocks noChangeShapeType="1"/>
        </xdr:cNvSpPr>
      </xdr:nvSpPr>
      <xdr:spPr bwMode="auto">
        <a:xfrm>
          <a:off x="1082040" y="7650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58</xdr:row>
      <xdr:rowOff>0</xdr:rowOff>
    </xdr:from>
    <xdr:to>
      <xdr:col>8</xdr:col>
      <xdr:colOff>7620</xdr:colOff>
      <xdr:row>58</xdr:row>
      <xdr:rowOff>0</xdr:rowOff>
    </xdr:to>
    <xdr:sp macro="" textlink="">
      <xdr:nvSpPr>
        <xdr:cNvPr id="971" name="Line 111">
          <a:extLst>
            <a:ext uri="{FF2B5EF4-FFF2-40B4-BE49-F238E27FC236}">
              <a16:creationId xmlns:a16="http://schemas.microsoft.com/office/drawing/2014/main" id="{00000000-0008-0000-0C00-0000CB030000}"/>
            </a:ext>
          </a:extLst>
        </xdr:cNvPr>
        <xdr:cNvSpPr>
          <a:spLocks noChangeShapeType="1"/>
        </xdr:cNvSpPr>
      </xdr:nvSpPr>
      <xdr:spPr bwMode="auto">
        <a:xfrm>
          <a:off x="1752600" y="76504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58</xdr:row>
      <xdr:rowOff>0</xdr:rowOff>
    </xdr:from>
    <xdr:to>
      <xdr:col>9</xdr:col>
      <xdr:colOff>7620</xdr:colOff>
      <xdr:row>58</xdr:row>
      <xdr:rowOff>0</xdr:rowOff>
    </xdr:to>
    <xdr:sp macro="" textlink="">
      <xdr:nvSpPr>
        <xdr:cNvPr id="972" name="Line 112">
          <a:extLst>
            <a:ext uri="{FF2B5EF4-FFF2-40B4-BE49-F238E27FC236}">
              <a16:creationId xmlns:a16="http://schemas.microsoft.com/office/drawing/2014/main" id="{00000000-0008-0000-0C00-0000CC030000}"/>
            </a:ext>
          </a:extLst>
        </xdr:cNvPr>
        <xdr:cNvSpPr>
          <a:spLocks noChangeShapeType="1"/>
        </xdr:cNvSpPr>
      </xdr:nvSpPr>
      <xdr:spPr bwMode="auto">
        <a:xfrm>
          <a:off x="2438400" y="7650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58</xdr:row>
      <xdr:rowOff>0</xdr:rowOff>
    </xdr:from>
    <xdr:to>
      <xdr:col>10</xdr:col>
      <xdr:colOff>7620</xdr:colOff>
      <xdr:row>58</xdr:row>
      <xdr:rowOff>0</xdr:rowOff>
    </xdr:to>
    <xdr:sp macro="" textlink="">
      <xdr:nvSpPr>
        <xdr:cNvPr id="973" name="Line 113">
          <a:extLst>
            <a:ext uri="{FF2B5EF4-FFF2-40B4-BE49-F238E27FC236}">
              <a16:creationId xmlns:a16="http://schemas.microsoft.com/office/drawing/2014/main" id="{00000000-0008-0000-0C00-0000CD030000}"/>
            </a:ext>
          </a:extLst>
        </xdr:cNvPr>
        <xdr:cNvSpPr>
          <a:spLocks noChangeShapeType="1"/>
        </xdr:cNvSpPr>
      </xdr:nvSpPr>
      <xdr:spPr bwMode="auto">
        <a:xfrm>
          <a:off x="3108960" y="76504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58</xdr:row>
      <xdr:rowOff>0</xdr:rowOff>
    </xdr:from>
    <xdr:to>
      <xdr:col>11</xdr:col>
      <xdr:colOff>7620</xdr:colOff>
      <xdr:row>58</xdr:row>
      <xdr:rowOff>0</xdr:rowOff>
    </xdr:to>
    <xdr:sp macro="" textlink="">
      <xdr:nvSpPr>
        <xdr:cNvPr id="974" name="Line 114">
          <a:extLst>
            <a:ext uri="{FF2B5EF4-FFF2-40B4-BE49-F238E27FC236}">
              <a16:creationId xmlns:a16="http://schemas.microsoft.com/office/drawing/2014/main" id="{00000000-0008-0000-0C00-0000CE030000}"/>
            </a:ext>
          </a:extLst>
        </xdr:cNvPr>
        <xdr:cNvSpPr>
          <a:spLocks noChangeShapeType="1"/>
        </xdr:cNvSpPr>
      </xdr:nvSpPr>
      <xdr:spPr bwMode="auto">
        <a:xfrm>
          <a:off x="3627120" y="7650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58</xdr:row>
      <xdr:rowOff>0</xdr:rowOff>
    </xdr:from>
    <xdr:to>
      <xdr:col>12</xdr:col>
      <xdr:colOff>7620</xdr:colOff>
      <xdr:row>58</xdr:row>
      <xdr:rowOff>0</xdr:rowOff>
    </xdr:to>
    <xdr:sp macro="" textlink="">
      <xdr:nvSpPr>
        <xdr:cNvPr id="975" name="Line 115">
          <a:extLst>
            <a:ext uri="{FF2B5EF4-FFF2-40B4-BE49-F238E27FC236}">
              <a16:creationId xmlns:a16="http://schemas.microsoft.com/office/drawing/2014/main" id="{00000000-0008-0000-0C00-0000CF030000}"/>
            </a:ext>
          </a:extLst>
        </xdr:cNvPr>
        <xdr:cNvSpPr>
          <a:spLocks noChangeShapeType="1"/>
        </xdr:cNvSpPr>
      </xdr:nvSpPr>
      <xdr:spPr bwMode="auto">
        <a:xfrm>
          <a:off x="4297680" y="76504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58</xdr:row>
      <xdr:rowOff>0</xdr:rowOff>
    </xdr:from>
    <xdr:to>
      <xdr:col>13</xdr:col>
      <xdr:colOff>7620</xdr:colOff>
      <xdr:row>58</xdr:row>
      <xdr:rowOff>0</xdr:rowOff>
    </xdr:to>
    <xdr:sp macro="" textlink="">
      <xdr:nvSpPr>
        <xdr:cNvPr id="976" name="Line 116">
          <a:extLst>
            <a:ext uri="{FF2B5EF4-FFF2-40B4-BE49-F238E27FC236}">
              <a16:creationId xmlns:a16="http://schemas.microsoft.com/office/drawing/2014/main" id="{00000000-0008-0000-0C00-0000D0030000}"/>
            </a:ext>
          </a:extLst>
        </xdr:cNvPr>
        <xdr:cNvSpPr>
          <a:spLocks noChangeShapeType="1"/>
        </xdr:cNvSpPr>
      </xdr:nvSpPr>
      <xdr:spPr bwMode="auto">
        <a:xfrm>
          <a:off x="4983480" y="76504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58</xdr:row>
      <xdr:rowOff>0</xdr:rowOff>
    </xdr:from>
    <xdr:to>
      <xdr:col>14</xdr:col>
      <xdr:colOff>7620</xdr:colOff>
      <xdr:row>58</xdr:row>
      <xdr:rowOff>0</xdr:rowOff>
    </xdr:to>
    <xdr:sp macro="" textlink="">
      <xdr:nvSpPr>
        <xdr:cNvPr id="977" name="Line 117">
          <a:extLst>
            <a:ext uri="{FF2B5EF4-FFF2-40B4-BE49-F238E27FC236}">
              <a16:creationId xmlns:a16="http://schemas.microsoft.com/office/drawing/2014/main" id="{00000000-0008-0000-0C00-0000D1030000}"/>
            </a:ext>
          </a:extLst>
        </xdr:cNvPr>
        <xdr:cNvSpPr>
          <a:spLocks noChangeShapeType="1"/>
        </xdr:cNvSpPr>
      </xdr:nvSpPr>
      <xdr:spPr bwMode="auto">
        <a:xfrm>
          <a:off x="5654040" y="76504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61</xdr:row>
      <xdr:rowOff>0</xdr:rowOff>
    </xdr:from>
    <xdr:to>
      <xdr:col>6</xdr:col>
      <xdr:colOff>7620</xdr:colOff>
      <xdr:row>61</xdr:row>
      <xdr:rowOff>0</xdr:rowOff>
    </xdr:to>
    <xdr:sp macro="" textlink="">
      <xdr:nvSpPr>
        <xdr:cNvPr id="978" name="Line 118">
          <a:extLst>
            <a:ext uri="{FF2B5EF4-FFF2-40B4-BE49-F238E27FC236}">
              <a16:creationId xmlns:a16="http://schemas.microsoft.com/office/drawing/2014/main" id="{00000000-0008-0000-0C00-0000D2030000}"/>
            </a:ext>
          </a:extLst>
        </xdr:cNvPr>
        <xdr:cNvSpPr>
          <a:spLocks noChangeShapeType="1"/>
        </xdr:cNvSpPr>
      </xdr:nvSpPr>
      <xdr:spPr bwMode="auto">
        <a:xfrm>
          <a:off x="495300" y="7818120"/>
          <a:ext cx="58674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61</xdr:row>
      <xdr:rowOff>0</xdr:rowOff>
    </xdr:from>
    <xdr:to>
      <xdr:col>7</xdr:col>
      <xdr:colOff>7620</xdr:colOff>
      <xdr:row>61</xdr:row>
      <xdr:rowOff>0</xdr:rowOff>
    </xdr:to>
    <xdr:sp macro="" textlink="">
      <xdr:nvSpPr>
        <xdr:cNvPr id="979" name="Line 119">
          <a:extLst>
            <a:ext uri="{FF2B5EF4-FFF2-40B4-BE49-F238E27FC236}">
              <a16:creationId xmlns:a16="http://schemas.microsoft.com/office/drawing/2014/main" id="{00000000-0008-0000-0C00-0000D3030000}"/>
            </a:ext>
          </a:extLst>
        </xdr:cNvPr>
        <xdr:cNvSpPr>
          <a:spLocks noChangeShapeType="1"/>
        </xdr:cNvSpPr>
      </xdr:nvSpPr>
      <xdr:spPr bwMode="auto">
        <a:xfrm>
          <a:off x="1082040" y="78181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61</xdr:row>
      <xdr:rowOff>0</xdr:rowOff>
    </xdr:from>
    <xdr:to>
      <xdr:col>8</xdr:col>
      <xdr:colOff>7620</xdr:colOff>
      <xdr:row>61</xdr:row>
      <xdr:rowOff>0</xdr:rowOff>
    </xdr:to>
    <xdr:sp macro="" textlink="">
      <xdr:nvSpPr>
        <xdr:cNvPr id="980" name="Line 120">
          <a:extLst>
            <a:ext uri="{FF2B5EF4-FFF2-40B4-BE49-F238E27FC236}">
              <a16:creationId xmlns:a16="http://schemas.microsoft.com/office/drawing/2014/main" id="{00000000-0008-0000-0C00-0000D4030000}"/>
            </a:ext>
          </a:extLst>
        </xdr:cNvPr>
        <xdr:cNvSpPr>
          <a:spLocks noChangeShapeType="1"/>
        </xdr:cNvSpPr>
      </xdr:nvSpPr>
      <xdr:spPr bwMode="auto">
        <a:xfrm>
          <a:off x="1752600" y="781812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61</xdr:row>
      <xdr:rowOff>0</xdr:rowOff>
    </xdr:from>
    <xdr:to>
      <xdr:col>9</xdr:col>
      <xdr:colOff>7620</xdr:colOff>
      <xdr:row>61</xdr:row>
      <xdr:rowOff>0</xdr:rowOff>
    </xdr:to>
    <xdr:sp macro="" textlink="">
      <xdr:nvSpPr>
        <xdr:cNvPr id="981" name="Line 121">
          <a:extLst>
            <a:ext uri="{FF2B5EF4-FFF2-40B4-BE49-F238E27FC236}">
              <a16:creationId xmlns:a16="http://schemas.microsoft.com/office/drawing/2014/main" id="{00000000-0008-0000-0C00-0000D5030000}"/>
            </a:ext>
          </a:extLst>
        </xdr:cNvPr>
        <xdr:cNvSpPr>
          <a:spLocks noChangeShapeType="1"/>
        </xdr:cNvSpPr>
      </xdr:nvSpPr>
      <xdr:spPr bwMode="auto">
        <a:xfrm>
          <a:off x="2438400" y="78181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61</xdr:row>
      <xdr:rowOff>0</xdr:rowOff>
    </xdr:from>
    <xdr:to>
      <xdr:col>10</xdr:col>
      <xdr:colOff>7620</xdr:colOff>
      <xdr:row>61</xdr:row>
      <xdr:rowOff>0</xdr:rowOff>
    </xdr:to>
    <xdr:sp macro="" textlink="">
      <xdr:nvSpPr>
        <xdr:cNvPr id="982" name="Line 122">
          <a:extLst>
            <a:ext uri="{FF2B5EF4-FFF2-40B4-BE49-F238E27FC236}">
              <a16:creationId xmlns:a16="http://schemas.microsoft.com/office/drawing/2014/main" id="{00000000-0008-0000-0C00-0000D6030000}"/>
            </a:ext>
          </a:extLst>
        </xdr:cNvPr>
        <xdr:cNvSpPr>
          <a:spLocks noChangeShapeType="1"/>
        </xdr:cNvSpPr>
      </xdr:nvSpPr>
      <xdr:spPr bwMode="auto">
        <a:xfrm>
          <a:off x="3108960" y="7818120"/>
          <a:ext cx="5181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61</xdr:row>
      <xdr:rowOff>0</xdr:rowOff>
    </xdr:from>
    <xdr:to>
      <xdr:col>11</xdr:col>
      <xdr:colOff>7620</xdr:colOff>
      <xdr:row>61</xdr:row>
      <xdr:rowOff>0</xdr:rowOff>
    </xdr:to>
    <xdr:sp macro="" textlink="">
      <xdr:nvSpPr>
        <xdr:cNvPr id="983" name="Line 123">
          <a:extLst>
            <a:ext uri="{FF2B5EF4-FFF2-40B4-BE49-F238E27FC236}">
              <a16:creationId xmlns:a16="http://schemas.microsoft.com/office/drawing/2014/main" id="{00000000-0008-0000-0C00-0000D7030000}"/>
            </a:ext>
          </a:extLst>
        </xdr:cNvPr>
        <xdr:cNvSpPr>
          <a:spLocks noChangeShapeType="1"/>
        </xdr:cNvSpPr>
      </xdr:nvSpPr>
      <xdr:spPr bwMode="auto">
        <a:xfrm>
          <a:off x="3627120" y="78181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61</xdr:row>
      <xdr:rowOff>0</xdr:rowOff>
    </xdr:from>
    <xdr:to>
      <xdr:col>12</xdr:col>
      <xdr:colOff>7620</xdr:colOff>
      <xdr:row>61</xdr:row>
      <xdr:rowOff>0</xdr:rowOff>
    </xdr:to>
    <xdr:sp macro="" textlink="">
      <xdr:nvSpPr>
        <xdr:cNvPr id="1285" name="Line 124">
          <a:extLst>
            <a:ext uri="{FF2B5EF4-FFF2-40B4-BE49-F238E27FC236}">
              <a16:creationId xmlns:a16="http://schemas.microsoft.com/office/drawing/2014/main" id="{00000000-0008-0000-0C00-000005050000}"/>
            </a:ext>
          </a:extLst>
        </xdr:cNvPr>
        <xdr:cNvSpPr>
          <a:spLocks noChangeShapeType="1"/>
        </xdr:cNvSpPr>
      </xdr:nvSpPr>
      <xdr:spPr bwMode="auto">
        <a:xfrm>
          <a:off x="4297680" y="7818120"/>
          <a:ext cx="68580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61</xdr:row>
      <xdr:rowOff>0</xdr:rowOff>
    </xdr:from>
    <xdr:to>
      <xdr:col>13</xdr:col>
      <xdr:colOff>7620</xdr:colOff>
      <xdr:row>61</xdr:row>
      <xdr:rowOff>0</xdr:rowOff>
    </xdr:to>
    <xdr:sp macro="" textlink="">
      <xdr:nvSpPr>
        <xdr:cNvPr id="1286" name="Line 125">
          <a:extLst>
            <a:ext uri="{FF2B5EF4-FFF2-40B4-BE49-F238E27FC236}">
              <a16:creationId xmlns:a16="http://schemas.microsoft.com/office/drawing/2014/main" id="{00000000-0008-0000-0C00-000006050000}"/>
            </a:ext>
          </a:extLst>
        </xdr:cNvPr>
        <xdr:cNvSpPr>
          <a:spLocks noChangeShapeType="1"/>
        </xdr:cNvSpPr>
      </xdr:nvSpPr>
      <xdr:spPr bwMode="auto">
        <a:xfrm>
          <a:off x="4983480" y="7818120"/>
          <a:ext cx="6705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61</xdr:row>
      <xdr:rowOff>0</xdr:rowOff>
    </xdr:from>
    <xdr:to>
      <xdr:col>14</xdr:col>
      <xdr:colOff>7620</xdr:colOff>
      <xdr:row>61</xdr:row>
      <xdr:rowOff>0</xdr:rowOff>
    </xdr:to>
    <xdr:sp macro="" textlink="">
      <xdr:nvSpPr>
        <xdr:cNvPr id="1287" name="Line 126">
          <a:extLst>
            <a:ext uri="{FF2B5EF4-FFF2-40B4-BE49-F238E27FC236}">
              <a16:creationId xmlns:a16="http://schemas.microsoft.com/office/drawing/2014/main" id="{00000000-0008-0000-0C00-000007050000}"/>
            </a:ext>
          </a:extLst>
        </xdr:cNvPr>
        <xdr:cNvSpPr>
          <a:spLocks noChangeShapeType="1"/>
        </xdr:cNvSpPr>
      </xdr:nvSpPr>
      <xdr:spPr bwMode="auto">
        <a:xfrm>
          <a:off x="5654040" y="7818120"/>
          <a:ext cx="708660" cy="0"/>
        </a:xfrm>
        <a:prstGeom prst="line">
          <a:avLst/>
        </a:prstGeom>
        <a:noFill/>
        <a:ln w="1" cap="flat">
          <a:solidFill>
            <a:srgbClr xmlns:mc="http://schemas.openxmlformats.org/markup-compatibility/2006" xmlns:a14="http://schemas.microsoft.com/office/drawing/2010/main" val="000000" mc:Ignorable="a14" a14:legacySpreadsheetColorIndex="64"/>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67</xdr:row>
      <xdr:rowOff>0</xdr:rowOff>
    </xdr:from>
    <xdr:to>
      <xdr:col>6</xdr:col>
      <xdr:colOff>7620</xdr:colOff>
      <xdr:row>67</xdr:row>
      <xdr:rowOff>0</xdr:rowOff>
    </xdr:to>
    <xdr:sp macro="" textlink="">
      <xdr:nvSpPr>
        <xdr:cNvPr id="1288" name="Line 127">
          <a:extLst>
            <a:ext uri="{FF2B5EF4-FFF2-40B4-BE49-F238E27FC236}">
              <a16:creationId xmlns:a16="http://schemas.microsoft.com/office/drawing/2014/main" id="{00000000-0008-0000-0C00-000008050000}"/>
            </a:ext>
          </a:extLst>
        </xdr:cNvPr>
        <xdr:cNvSpPr>
          <a:spLocks noChangeShapeType="1"/>
        </xdr:cNvSpPr>
      </xdr:nvSpPr>
      <xdr:spPr bwMode="auto">
        <a:xfrm>
          <a:off x="495300" y="854202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67</xdr:row>
      <xdr:rowOff>0</xdr:rowOff>
    </xdr:from>
    <xdr:to>
      <xdr:col>7</xdr:col>
      <xdr:colOff>7620</xdr:colOff>
      <xdr:row>67</xdr:row>
      <xdr:rowOff>0</xdr:rowOff>
    </xdr:to>
    <xdr:sp macro="" textlink="">
      <xdr:nvSpPr>
        <xdr:cNvPr id="1289" name="Line 128">
          <a:extLst>
            <a:ext uri="{FF2B5EF4-FFF2-40B4-BE49-F238E27FC236}">
              <a16:creationId xmlns:a16="http://schemas.microsoft.com/office/drawing/2014/main" id="{00000000-0008-0000-0C00-000009050000}"/>
            </a:ext>
          </a:extLst>
        </xdr:cNvPr>
        <xdr:cNvSpPr>
          <a:spLocks noChangeShapeType="1"/>
        </xdr:cNvSpPr>
      </xdr:nvSpPr>
      <xdr:spPr bwMode="auto">
        <a:xfrm>
          <a:off x="1082040" y="85420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67</xdr:row>
      <xdr:rowOff>0</xdr:rowOff>
    </xdr:from>
    <xdr:to>
      <xdr:col>8</xdr:col>
      <xdr:colOff>7620</xdr:colOff>
      <xdr:row>67</xdr:row>
      <xdr:rowOff>0</xdr:rowOff>
    </xdr:to>
    <xdr:sp macro="" textlink="">
      <xdr:nvSpPr>
        <xdr:cNvPr id="1290" name="Line 129">
          <a:extLst>
            <a:ext uri="{FF2B5EF4-FFF2-40B4-BE49-F238E27FC236}">
              <a16:creationId xmlns:a16="http://schemas.microsoft.com/office/drawing/2014/main" id="{00000000-0008-0000-0C00-00000A050000}"/>
            </a:ext>
          </a:extLst>
        </xdr:cNvPr>
        <xdr:cNvSpPr>
          <a:spLocks noChangeShapeType="1"/>
        </xdr:cNvSpPr>
      </xdr:nvSpPr>
      <xdr:spPr bwMode="auto">
        <a:xfrm>
          <a:off x="1752600" y="85420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67</xdr:row>
      <xdr:rowOff>0</xdr:rowOff>
    </xdr:from>
    <xdr:to>
      <xdr:col>9</xdr:col>
      <xdr:colOff>7620</xdr:colOff>
      <xdr:row>67</xdr:row>
      <xdr:rowOff>0</xdr:rowOff>
    </xdr:to>
    <xdr:sp macro="" textlink="">
      <xdr:nvSpPr>
        <xdr:cNvPr id="1291" name="Line 130">
          <a:extLst>
            <a:ext uri="{FF2B5EF4-FFF2-40B4-BE49-F238E27FC236}">
              <a16:creationId xmlns:a16="http://schemas.microsoft.com/office/drawing/2014/main" id="{00000000-0008-0000-0C00-00000B050000}"/>
            </a:ext>
          </a:extLst>
        </xdr:cNvPr>
        <xdr:cNvSpPr>
          <a:spLocks noChangeShapeType="1"/>
        </xdr:cNvSpPr>
      </xdr:nvSpPr>
      <xdr:spPr bwMode="auto">
        <a:xfrm>
          <a:off x="2438400" y="85420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67</xdr:row>
      <xdr:rowOff>0</xdr:rowOff>
    </xdr:from>
    <xdr:to>
      <xdr:col>10</xdr:col>
      <xdr:colOff>7620</xdr:colOff>
      <xdr:row>67</xdr:row>
      <xdr:rowOff>0</xdr:rowOff>
    </xdr:to>
    <xdr:sp macro="" textlink="">
      <xdr:nvSpPr>
        <xdr:cNvPr id="1292" name="Line 131">
          <a:extLst>
            <a:ext uri="{FF2B5EF4-FFF2-40B4-BE49-F238E27FC236}">
              <a16:creationId xmlns:a16="http://schemas.microsoft.com/office/drawing/2014/main" id="{00000000-0008-0000-0C00-00000C050000}"/>
            </a:ext>
          </a:extLst>
        </xdr:cNvPr>
        <xdr:cNvSpPr>
          <a:spLocks noChangeShapeType="1"/>
        </xdr:cNvSpPr>
      </xdr:nvSpPr>
      <xdr:spPr bwMode="auto">
        <a:xfrm>
          <a:off x="3108960" y="854202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67</xdr:row>
      <xdr:rowOff>0</xdr:rowOff>
    </xdr:from>
    <xdr:to>
      <xdr:col>11</xdr:col>
      <xdr:colOff>7620</xdr:colOff>
      <xdr:row>67</xdr:row>
      <xdr:rowOff>0</xdr:rowOff>
    </xdr:to>
    <xdr:sp macro="" textlink="">
      <xdr:nvSpPr>
        <xdr:cNvPr id="1293" name="Line 132">
          <a:extLst>
            <a:ext uri="{FF2B5EF4-FFF2-40B4-BE49-F238E27FC236}">
              <a16:creationId xmlns:a16="http://schemas.microsoft.com/office/drawing/2014/main" id="{00000000-0008-0000-0C00-00000D050000}"/>
            </a:ext>
          </a:extLst>
        </xdr:cNvPr>
        <xdr:cNvSpPr>
          <a:spLocks noChangeShapeType="1"/>
        </xdr:cNvSpPr>
      </xdr:nvSpPr>
      <xdr:spPr bwMode="auto">
        <a:xfrm>
          <a:off x="3627120" y="85420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67</xdr:row>
      <xdr:rowOff>0</xdr:rowOff>
    </xdr:from>
    <xdr:to>
      <xdr:col>12</xdr:col>
      <xdr:colOff>7620</xdr:colOff>
      <xdr:row>67</xdr:row>
      <xdr:rowOff>0</xdr:rowOff>
    </xdr:to>
    <xdr:sp macro="" textlink="">
      <xdr:nvSpPr>
        <xdr:cNvPr id="1294" name="Line 133">
          <a:extLst>
            <a:ext uri="{FF2B5EF4-FFF2-40B4-BE49-F238E27FC236}">
              <a16:creationId xmlns:a16="http://schemas.microsoft.com/office/drawing/2014/main" id="{00000000-0008-0000-0C00-00000E050000}"/>
            </a:ext>
          </a:extLst>
        </xdr:cNvPr>
        <xdr:cNvSpPr>
          <a:spLocks noChangeShapeType="1"/>
        </xdr:cNvSpPr>
      </xdr:nvSpPr>
      <xdr:spPr bwMode="auto">
        <a:xfrm>
          <a:off x="4297680" y="85420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67</xdr:row>
      <xdr:rowOff>0</xdr:rowOff>
    </xdr:from>
    <xdr:to>
      <xdr:col>13</xdr:col>
      <xdr:colOff>7620</xdr:colOff>
      <xdr:row>67</xdr:row>
      <xdr:rowOff>0</xdr:rowOff>
    </xdr:to>
    <xdr:sp macro="" textlink="">
      <xdr:nvSpPr>
        <xdr:cNvPr id="1295" name="Line 134">
          <a:extLst>
            <a:ext uri="{FF2B5EF4-FFF2-40B4-BE49-F238E27FC236}">
              <a16:creationId xmlns:a16="http://schemas.microsoft.com/office/drawing/2014/main" id="{00000000-0008-0000-0C00-00000F050000}"/>
            </a:ext>
          </a:extLst>
        </xdr:cNvPr>
        <xdr:cNvSpPr>
          <a:spLocks noChangeShapeType="1"/>
        </xdr:cNvSpPr>
      </xdr:nvSpPr>
      <xdr:spPr bwMode="auto">
        <a:xfrm>
          <a:off x="4983480" y="85420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67</xdr:row>
      <xdr:rowOff>0</xdr:rowOff>
    </xdr:from>
    <xdr:to>
      <xdr:col>14</xdr:col>
      <xdr:colOff>7620</xdr:colOff>
      <xdr:row>67</xdr:row>
      <xdr:rowOff>0</xdr:rowOff>
    </xdr:to>
    <xdr:sp macro="" textlink="">
      <xdr:nvSpPr>
        <xdr:cNvPr id="1296" name="Line 135">
          <a:extLst>
            <a:ext uri="{FF2B5EF4-FFF2-40B4-BE49-F238E27FC236}">
              <a16:creationId xmlns:a16="http://schemas.microsoft.com/office/drawing/2014/main" id="{00000000-0008-0000-0C00-000010050000}"/>
            </a:ext>
          </a:extLst>
        </xdr:cNvPr>
        <xdr:cNvSpPr>
          <a:spLocks noChangeShapeType="1"/>
        </xdr:cNvSpPr>
      </xdr:nvSpPr>
      <xdr:spPr bwMode="auto">
        <a:xfrm>
          <a:off x="5654040" y="854202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68</xdr:row>
      <xdr:rowOff>0</xdr:rowOff>
    </xdr:from>
    <xdr:to>
      <xdr:col>6</xdr:col>
      <xdr:colOff>7620</xdr:colOff>
      <xdr:row>68</xdr:row>
      <xdr:rowOff>0</xdr:rowOff>
    </xdr:to>
    <xdr:sp macro="" textlink="">
      <xdr:nvSpPr>
        <xdr:cNvPr id="1297" name="Line 136">
          <a:extLst>
            <a:ext uri="{FF2B5EF4-FFF2-40B4-BE49-F238E27FC236}">
              <a16:creationId xmlns:a16="http://schemas.microsoft.com/office/drawing/2014/main" id="{00000000-0008-0000-0C00-000011050000}"/>
            </a:ext>
          </a:extLst>
        </xdr:cNvPr>
        <xdr:cNvSpPr>
          <a:spLocks noChangeShapeType="1"/>
        </xdr:cNvSpPr>
      </xdr:nvSpPr>
      <xdr:spPr bwMode="auto">
        <a:xfrm>
          <a:off x="495300" y="86791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68</xdr:row>
      <xdr:rowOff>0</xdr:rowOff>
    </xdr:from>
    <xdr:to>
      <xdr:col>7</xdr:col>
      <xdr:colOff>7620</xdr:colOff>
      <xdr:row>68</xdr:row>
      <xdr:rowOff>0</xdr:rowOff>
    </xdr:to>
    <xdr:sp macro="" textlink="">
      <xdr:nvSpPr>
        <xdr:cNvPr id="1298" name="Line 137">
          <a:extLst>
            <a:ext uri="{FF2B5EF4-FFF2-40B4-BE49-F238E27FC236}">
              <a16:creationId xmlns:a16="http://schemas.microsoft.com/office/drawing/2014/main" id="{00000000-0008-0000-0C00-000012050000}"/>
            </a:ext>
          </a:extLst>
        </xdr:cNvPr>
        <xdr:cNvSpPr>
          <a:spLocks noChangeShapeType="1"/>
        </xdr:cNvSpPr>
      </xdr:nvSpPr>
      <xdr:spPr bwMode="auto">
        <a:xfrm>
          <a:off x="1082040" y="86791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68</xdr:row>
      <xdr:rowOff>0</xdr:rowOff>
    </xdr:from>
    <xdr:to>
      <xdr:col>8</xdr:col>
      <xdr:colOff>7620</xdr:colOff>
      <xdr:row>68</xdr:row>
      <xdr:rowOff>0</xdr:rowOff>
    </xdr:to>
    <xdr:sp macro="" textlink="">
      <xdr:nvSpPr>
        <xdr:cNvPr id="1299" name="Line 138">
          <a:extLst>
            <a:ext uri="{FF2B5EF4-FFF2-40B4-BE49-F238E27FC236}">
              <a16:creationId xmlns:a16="http://schemas.microsoft.com/office/drawing/2014/main" id="{00000000-0008-0000-0C00-000013050000}"/>
            </a:ext>
          </a:extLst>
        </xdr:cNvPr>
        <xdr:cNvSpPr>
          <a:spLocks noChangeShapeType="1"/>
        </xdr:cNvSpPr>
      </xdr:nvSpPr>
      <xdr:spPr bwMode="auto">
        <a:xfrm>
          <a:off x="1752600" y="86791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68</xdr:row>
      <xdr:rowOff>0</xdr:rowOff>
    </xdr:from>
    <xdr:to>
      <xdr:col>9</xdr:col>
      <xdr:colOff>7620</xdr:colOff>
      <xdr:row>68</xdr:row>
      <xdr:rowOff>0</xdr:rowOff>
    </xdr:to>
    <xdr:sp macro="" textlink="">
      <xdr:nvSpPr>
        <xdr:cNvPr id="1300" name="Line 139">
          <a:extLst>
            <a:ext uri="{FF2B5EF4-FFF2-40B4-BE49-F238E27FC236}">
              <a16:creationId xmlns:a16="http://schemas.microsoft.com/office/drawing/2014/main" id="{00000000-0008-0000-0C00-000014050000}"/>
            </a:ext>
          </a:extLst>
        </xdr:cNvPr>
        <xdr:cNvSpPr>
          <a:spLocks noChangeShapeType="1"/>
        </xdr:cNvSpPr>
      </xdr:nvSpPr>
      <xdr:spPr bwMode="auto">
        <a:xfrm>
          <a:off x="2438400" y="86791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68</xdr:row>
      <xdr:rowOff>0</xdr:rowOff>
    </xdr:from>
    <xdr:to>
      <xdr:col>10</xdr:col>
      <xdr:colOff>7620</xdr:colOff>
      <xdr:row>68</xdr:row>
      <xdr:rowOff>0</xdr:rowOff>
    </xdr:to>
    <xdr:sp macro="" textlink="">
      <xdr:nvSpPr>
        <xdr:cNvPr id="1301" name="Line 140">
          <a:extLst>
            <a:ext uri="{FF2B5EF4-FFF2-40B4-BE49-F238E27FC236}">
              <a16:creationId xmlns:a16="http://schemas.microsoft.com/office/drawing/2014/main" id="{00000000-0008-0000-0C00-000015050000}"/>
            </a:ext>
          </a:extLst>
        </xdr:cNvPr>
        <xdr:cNvSpPr>
          <a:spLocks noChangeShapeType="1"/>
        </xdr:cNvSpPr>
      </xdr:nvSpPr>
      <xdr:spPr bwMode="auto">
        <a:xfrm>
          <a:off x="3108960" y="86791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68</xdr:row>
      <xdr:rowOff>0</xdr:rowOff>
    </xdr:from>
    <xdr:to>
      <xdr:col>11</xdr:col>
      <xdr:colOff>7620</xdr:colOff>
      <xdr:row>68</xdr:row>
      <xdr:rowOff>0</xdr:rowOff>
    </xdr:to>
    <xdr:sp macro="" textlink="">
      <xdr:nvSpPr>
        <xdr:cNvPr id="1302" name="Line 141">
          <a:extLst>
            <a:ext uri="{FF2B5EF4-FFF2-40B4-BE49-F238E27FC236}">
              <a16:creationId xmlns:a16="http://schemas.microsoft.com/office/drawing/2014/main" id="{00000000-0008-0000-0C00-000016050000}"/>
            </a:ext>
          </a:extLst>
        </xdr:cNvPr>
        <xdr:cNvSpPr>
          <a:spLocks noChangeShapeType="1"/>
        </xdr:cNvSpPr>
      </xdr:nvSpPr>
      <xdr:spPr bwMode="auto">
        <a:xfrm>
          <a:off x="3627120" y="86791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68</xdr:row>
      <xdr:rowOff>0</xdr:rowOff>
    </xdr:from>
    <xdr:to>
      <xdr:col>12</xdr:col>
      <xdr:colOff>7620</xdr:colOff>
      <xdr:row>68</xdr:row>
      <xdr:rowOff>0</xdr:rowOff>
    </xdr:to>
    <xdr:sp macro="" textlink="">
      <xdr:nvSpPr>
        <xdr:cNvPr id="1303" name="Line 142">
          <a:extLst>
            <a:ext uri="{FF2B5EF4-FFF2-40B4-BE49-F238E27FC236}">
              <a16:creationId xmlns:a16="http://schemas.microsoft.com/office/drawing/2014/main" id="{00000000-0008-0000-0C00-000017050000}"/>
            </a:ext>
          </a:extLst>
        </xdr:cNvPr>
        <xdr:cNvSpPr>
          <a:spLocks noChangeShapeType="1"/>
        </xdr:cNvSpPr>
      </xdr:nvSpPr>
      <xdr:spPr bwMode="auto">
        <a:xfrm>
          <a:off x="4297680" y="86791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68</xdr:row>
      <xdr:rowOff>0</xdr:rowOff>
    </xdr:from>
    <xdr:to>
      <xdr:col>13</xdr:col>
      <xdr:colOff>7620</xdr:colOff>
      <xdr:row>68</xdr:row>
      <xdr:rowOff>0</xdr:rowOff>
    </xdr:to>
    <xdr:sp macro="" textlink="">
      <xdr:nvSpPr>
        <xdr:cNvPr id="1304" name="Line 143">
          <a:extLst>
            <a:ext uri="{FF2B5EF4-FFF2-40B4-BE49-F238E27FC236}">
              <a16:creationId xmlns:a16="http://schemas.microsoft.com/office/drawing/2014/main" id="{00000000-0008-0000-0C00-000018050000}"/>
            </a:ext>
          </a:extLst>
        </xdr:cNvPr>
        <xdr:cNvSpPr>
          <a:spLocks noChangeShapeType="1"/>
        </xdr:cNvSpPr>
      </xdr:nvSpPr>
      <xdr:spPr bwMode="auto">
        <a:xfrm>
          <a:off x="4983480" y="86791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68</xdr:row>
      <xdr:rowOff>0</xdr:rowOff>
    </xdr:from>
    <xdr:to>
      <xdr:col>14</xdr:col>
      <xdr:colOff>7620</xdr:colOff>
      <xdr:row>68</xdr:row>
      <xdr:rowOff>0</xdr:rowOff>
    </xdr:to>
    <xdr:sp macro="" textlink="">
      <xdr:nvSpPr>
        <xdr:cNvPr id="1305" name="Line 144">
          <a:extLst>
            <a:ext uri="{FF2B5EF4-FFF2-40B4-BE49-F238E27FC236}">
              <a16:creationId xmlns:a16="http://schemas.microsoft.com/office/drawing/2014/main" id="{00000000-0008-0000-0C00-000019050000}"/>
            </a:ext>
          </a:extLst>
        </xdr:cNvPr>
        <xdr:cNvSpPr>
          <a:spLocks noChangeShapeType="1"/>
        </xdr:cNvSpPr>
      </xdr:nvSpPr>
      <xdr:spPr bwMode="auto">
        <a:xfrm>
          <a:off x="5654040" y="86791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69</xdr:row>
      <xdr:rowOff>0</xdr:rowOff>
    </xdr:from>
    <xdr:to>
      <xdr:col>6</xdr:col>
      <xdr:colOff>7620</xdr:colOff>
      <xdr:row>69</xdr:row>
      <xdr:rowOff>0</xdr:rowOff>
    </xdr:to>
    <xdr:sp macro="" textlink="">
      <xdr:nvSpPr>
        <xdr:cNvPr id="1306" name="Line 145">
          <a:extLst>
            <a:ext uri="{FF2B5EF4-FFF2-40B4-BE49-F238E27FC236}">
              <a16:creationId xmlns:a16="http://schemas.microsoft.com/office/drawing/2014/main" id="{00000000-0008-0000-0C00-00001A050000}"/>
            </a:ext>
          </a:extLst>
        </xdr:cNvPr>
        <xdr:cNvSpPr>
          <a:spLocks noChangeShapeType="1"/>
        </xdr:cNvSpPr>
      </xdr:nvSpPr>
      <xdr:spPr bwMode="auto">
        <a:xfrm>
          <a:off x="495300" y="881634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69</xdr:row>
      <xdr:rowOff>0</xdr:rowOff>
    </xdr:from>
    <xdr:to>
      <xdr:col>7</xdr:col>
      <xdr:colOff>7620</xdr:colOff>
      <xdr:row>69</xdr:row>
      <xdr:rowOff>0</xdr:rowOff>
    </xdr:to>
    <xdr:sp macro="" textlink="">
      <xdr:nvSpPr>
        <xdr:cNvPr id="1307" name="Line 146">
          <a:extLst>
            <a:ext uri="{FF2B5EF4-FFF2-40B4-BE49-F238E27FC236}">
              <a16:creationId xmlns:a16="http://schemas.microsoft.com/office/drawing/2014/main" id="{00000000-0008-0000-0C00-00001B050000}"/>
            </a:ext>
          </a:extLst>
        </xdr:cNvPr>
        <xdr:cNvSpPr>
          <a:spLocks noChangeShapeType="1"/>
        </xdr:cNvSpPr>
      </xdr:nvSpPr>
      <xdr:spPr bwMode="auto">
        <a:xfrm>
          <a:off x="1082040" y="88163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69</xdr:row>
      <xdr:rowOff>0</xdr:rowOff>
    </xdr:from>
    <xdr:to>
      <xdr:col>8</xdr:col>
      <xdr:colOff>7620</xdr:colOff>
      <xdr:row>69</xdr:row>
      <xdr:rowOff>0</xdr:rowOff>
    </xdr:to>
    <xdr:sp macro="" textlink="">
      <xdr:nvSpPr>
        <xdr:cNvPr id="1308" name="Line 147">
          <a:extLst>
            <a:ext uri="{FF2B5EF4-FFF2-40B4-BE49-F238E27FC236}">
              <a16:creationId xmlns:a16="http://schemas.microsoft.com/office/drawing/2014/main" id="{00000000-0008-0000-0C00-00001C050000}"/>
            </a:ext>
          </a:extLst>
        </xdr:cNvPr>
        <xdr:cNvSpPr>
          <a:spLocks noChangeShapeType="1"/>
        </xdr:cNvSpPr>
      </xdr:nvSpPr>
      <xdr:spPr bwMode="auto">
        <a:xfrm>
          <a:off x="1752600" y="881634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69</xdr:row>
      <xdr:rowOff>0</xdr:rowOff>
    </xdr:from>
    <xdr:to>
      <xdr:col>9</xdr:col>
      <xdr:colOff>7620</xdr:colOff>
      <xdr:row>69</xdr:row>
      <xdr:rowOff>0</xdr:rowOff>
    </xdr:to>
    <xdr:sp macro="" textlink="">
      <xdr:nvSpPr>
        <xdr:cNvPr id="1309" name="Line 148">
          <a:extLst>
            <a:ext uri="{FF2B5EF4-FFF2-40B4-BE49-F238E27FC236}">
              <a16:creationId xmlns:a16="http://schemas.microsoft.com/office/drawing/2014/main" id="{00000000-0008-0000-0C00-00001D050000}"/>
            </a:ext>
          </a:extLst>
        </xdr:cNvPr>
        <xdr:cNvSpPr>
          <a:spLocks noChangeShapeType="1"/>
        </xdr:cNvSpPr>
      </xdr:nvSpPr>
      <xdr:spPr bwMode="auto">
        <a:xfrm>
          <a:off x="2438400" y="88163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69</xdr:row>
      <xdr:rowOff>0</xdr:rowOff>
    </xdr:from>
    <xdr:to>
      <xdr:col>10</xdr:col>
      <xdr:colOff>7620</xdr:colOff>
      <xdr:row>69</xdr:row>
      <xdr:rowOff>0</xdr:rowOff>
    </xdr:to>
    <xdr:sp macro="" textlink="">
      <xdr:nvSpPr>
        <xdr:cNvPr id="1310" name="Line 149">
          <a:extLst>
            <a:ext uri="{FF2B5EF4-FFF2-40B4-BE49-F238E27FC236}">
              <a16:creationId xmlns:a16="http://schemas.microsoft.com/office/drawing/2014/main" id="{00000000-0008-0000-0C00-00001E050000}"/>
            </a:ext>
          </a:extLst>
        </xdr:cNvPr>
        <xdr:cNvSpPr>
          <a:spLocks noChangeShapeType="1"/>
        </xdr:cNvSpPr>
      </xdr:nvSpPr>
      <xdr:spPr bwMode="auto">
        <a:xfrm>
          <a:off x="3108960" y="881634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69</xdr:row>
      <xdr:rowOff>0</xdr:rowOff>
    </xdr:from>
    <xdr:to>
      <xdr:col>11</xdr:col>
      <xdr:colOff>7620</xdr:colOff>
      <xdr:row>69</xdr:row>
      <xdr:rowOff>0</xdr:rowOff>
    </xdr:to>
    <xdr:sp macro="" textlink="">
      <xdr:nvSpPr>
        <xdr:cNvPr id="1311" name="Line 150">
          <a:extLst>
            <a:ext uri="{FF2B5EF4-FFF2-40B4-BE49-F238E27FC236}">
              <a16:creationId xmlns:a16="http://schemas.microsoft.com/office/drawing/2014/main" id="{00000000-0008-0000-0C00-00001F050000}"/>
            </a:ext>
          </a:extLst>
        </xdr:cNvPr>
        <xdr:cNvSpPr>
          <a:spLocks noChangeShapeType="1"/>
        </xdr:cNvSpPr>
      </xdr:nvSpPr>
      <xdr:spPr bwMode="auto">
        <a:xfrm>
          <a:off x="3627120" y="88163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69</xdr:row>
      <xdr:rowOff>0</xdr:rowOff>
    </xdr:from>
    <xdr:to>
      <xdr:col>12</xdr:col>
      <xdr:colOff>7620</xdr:colOff>
      <xdr:row>69</xdr:row>
      <xdr:rowOff>0</xdr:rowOff>
    </xdr:to>
    <xdr:sp macro="" textlink="">
      <xdr:nvSpPr>
        <xdr:cNvPr id="1312" name="Line 151">
          <a:extLst>
            <a:ext uri="{FF2B5EF4-FFF2-40B4-BE49-F238E27FC236}">
              <a16:creationId xmlns:a16="http://schemas.microsoft.com/office/drawing/2014/main" id="{00000000-0008-0000-0C00-000020050000}"/>
            </a:ext>
          </a:extLst>
        </xdr:cNvPr>
        <xdr:cNvSpPr>
          <a:spLocks noChangeShapeType="1"/>
        </xdr:cNvSpPr>
      </xdr:nvSpPr>
      <xdr:spPr bwMode="auto">
        <a:xfrm>
          <a:off x="4297680" y="881634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xdr:twoCellAnchor>
  <xdr:twoCellAnchor>
    <xdr:from>
      <xdr:col>12</xdr:col>
      <xdr:colOff>7620</xdr:colOff>
      <xdr:row>69</xdr:row>
      <xdr:rowOff>0</xdr:rowOff>
    </xdr:from>
    <xdr:to>
      <xdr:col>13</xdr:col>
      <xdr:colOff>7620</xdr:colOff>
      <xdr:row>69</xdr:row>
      <xdr:rowOff>0</xdr:rowOff>
    </xdr:to>
    <xdr:sp macro="" textlink="">
      <xdr:nvSpPr>
        <xdr:cNvPr id="1313" name="Line 152">
          <a:extLst>
            <a:ext uri="{FF2B5EF4-FFF2-40B4-BE49-F238E27FC236}">
              <a16:creationId xmlns:a16="http://schemas.microsoft.com/office/drawing/2014/main" id="{00000000-0008-0000-0C00-000021050000}"/>
            </a:ext>
          </a:extLst>
        </xdr:cNvPr>
        <xdr:cNvSpPr>
          <a:spLocks noChangeShapeType="1"/>
        </xdr:cNvSpPr>
      </xdr:nvSpPr>
      <xdr:spPr bwMode="auto">
        <a:xfrm>
          <a:off x="4983480" y="88163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69</xdr:row>
      <xdr:rowOff>0</xdr:rowOff>
    </xdr:from>
    <xdr:to>
      <xdr:col>14</xdr:col>
      <xdr:colOff>7620</xdr:colOff>
      <xdr:row>69</xdr:row>
      <xdr:rowOff>0</xdr:rowOff>
    </xdr:to>
    <xdr:sp macro="" textlink="">
      <xdr:nvSpPr>
        <xdr:cNvPr id="1314" name="Line 153">
          <a:extLst>
            <a:ext uri="{FF2B5EF4-FFF2-40B4-BE49-F238E27FC236}">
              <a16:creationId xmlns:a16="http://schemas.microsoft.com/office/drawing/2014/main" id="{00000000-0008-0000-0C00-000022050000}"/>
            </a:ext>
          </a:extLst>
        </xdr:cNvPr>
        <xdr:cNvSpPr>
          <a:spLocks noChangeShapeType="1"/>
        </xdr:cNvSpPr>
      </xdr:nvSpPr>
      <xdr:spPr bwMode="auto">
        <a:xfrm>
          <a:off x="5654040" y="881634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71</xdr:row>
      <xdr:rowOff>0</xdr:rowOff>
    </xdr:from>
    <xdr:to>
      <xdr:col>6</xdr:col>
      <xdr:colOff>7620</xdr:colOff>
      <xdr:row>71</xdr:row>
      <xdr:rowOff>0</xdr:rowOff>
    </xdr:to>
    <xdr:sp macro="" textlink="">
      <xdr:nvSpPr>
        <xdr:cNvPr id="1315" name="Line 154">
          <a:extLst>
            <a:ext uri="{FF2B5EF4-FFF2-40B4-BE49-F238E27FC236}">
              <a16:creationId xmlns:a16="http://schemas.microsoft.com/office/drawing/2014/main" id="{00000000-0008-0000-0C00-000023050000}"/>
            </a:ext>
          </a:extLst>
        </xdr:cNvPr>
        <xdr:cNvSpPr>
          <a:spLocks noChangeShapeType="1"/>
        </xdr:cNvSpPr>
      </xdr:nvSpPr>
      <xdr:spPr bwMode="auto">
        <a:xfrm>
          <a:off x="495300" y="909066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71</xdr:row>
      <xdr:rowOff>0</xdr:rowOff>
    </xdr:from>
    <xdr:to>
      <xdr:col>7</xdr:col>
      <xdr:colOff>7620</xdr:colOff>
      <xdr:row>71</xdr:row>
      <xdr:rowOff>0</xdr:rowOff>
    </xdr:to>
    <xdr:sp macro="" textlink="">
      <xdr:nvSpPr>
        <xdr:cNvPr id="1316" name="Line 155">
          <a:extLst>
            <a:ext uri="{FF2B5EF4-FFF2-40B4-BE49-F238E27FC236}">
              <a16:creationId xmlns:a16="http://schemas.microsoft.com/office/drawing/2014/main" id="{00000000-0008-0000-0C00-000024050000}"/>
            </a:ext>
          </a:extLst>
        </xdr:cNvPr>
        <xdr:cNvSpPr>
          <a:spLocks noChangeShapeType="1"/>
        </xdr:cNvSpPr>
      </xdr:nvSpPr>
      <xdr:spPr bwMode="auto">
        <a:xfrm>
          <a:off x="1082040" y="909066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71</xdr:row>
      <xdr:rowOff>0</xdr:rowOff>
    </xdr:from>
    <xdr:to>
      <xdr:col>8</xdr:col>
      <xdr:colOff>7620</xdr:colOff>
      <xdr:row>71</xdr:row>
      <xdr:rowOff>0</xdr:rowOff>
    </xdr:to>
    <xdr:sp macro="" textlink="">
      <xdr:nvSpPr>
        <xdr:cNvPr id="1317" name="Line 156">
          <a:extLst>
            <a:ext uri="{FF2B5EF4-FFF2-40B4-BE49-F238E27FC236}">
              <a16:creationId xmlns:a16="http://schemas.microsoft.com/office/drawing/2014/main" id="{00000000-0008-0000-0C00-000025050000}"/>
            </a:ext>
          </a:extLst>
        </xdr:cNvPr>
        <xdr:cNvSpPr>
          <a:spLocks noChangeShapeType="1"/>
        </xdr:cNvSpPr>
      </xdr:nvSpPr>
      <xdr:spPr bwMode="auto">
        <a:xfrm>
          <a:off x="1752600" y="909066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71</xdr:row>
      <xdr:rowOff>0</xdr:rowOff>
    </xdr:from>
    <xdr:to>
      <xdr:col>9</xdr:col>
      <xdr:colOff>7620</xdr:colOff>
      <xdr:row>71</xdr:row>
      <xdr:rowOff>0</xdr:rowOff>
    </xdr:to>
    <xdr:sp macro="" textlink="">
      <xdr:nvSpPr>
        <xdr:cNvPr id="1318" name="Line 157">
          <a:extLst>
            <a:ext uri="{FF2B5EF4-FFF2-40B4-BE49-F238E27FC236}">
              <a16:creationId xmlns:a16="http://schemas.microsoft.com/office/drawing/2014/main" id="{00000000-0008-0000-0C00-000026050000}"/>
            </a:ext>
          </a:extLst>
        </xdr:cNvPr>
        <xdr:cNvSpPr>
          <a:spLocks noChangeShapeType="1"/>
        </xdr:cNvSpPr>
      </xdr:nvSpPr>
      <xdr:spPr bwMode="auto">
        <a:xfrm>
          <a:off x="2438400" y="909066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71</xdr:row>
      <xdr:rowOff>0</xdr:rowOff>
    </xdr:from>
    <xdr:to>
      <xdr:col>10</xdr:col>
      <xdr:colOff>7620</xdr:colOff>
      <xdr:row>71</xdr:row>
      <xdr:rowOff>0</xdr:rowOff>
    </xdr:to>
    <xdr:sp macro="" textlink="">
      <xdr:nvSpPr>
        <xdr:cNvPr id="1319" name="Line 158">
          <a:extLst>
            <a:ext uri="{FF2B5EF4-FFF2-40B4-BE49-F238E27FC236}">
              <a16:creationId xmlns:a16="http://schemas.microsoft.com/office/drawing/2014/main" id="{00000000-0008-0000-0C00-000027050000}"/>
            </a:ext>
          </a:extLst>
        </xdr:cNvPr>
        <xdr:cNvSpPr>
          <a:spLocks noChangeShapeType="1"/>
        </xdr:cNvSpPr>
      </xdr:nvSpPr>
      <xdr:spPr bwMode="auto">
        <a:xfrm>
          <a:off x="3108960" y="909066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71</xdr:row>
      <xdr:rowOff>0</xdr:rowOff>
    </xdr:from>
    <xdr:to>
      <xdr:col>11</xdr:col>
      <xdr:colOff>7620</xdr:colOff>
      <xdr:row>71</xdr:row>
      <xdr:rowOff>0</xdr:rowOff>
    </xdr:to>
    <xdr:sp macro="" textlink="">
      <xdr:nvSpPr>
        <xdr:cNvPr id="1320" name="Line 159">
          <a:extLst>
            <a:ext uri="{FF2B5EF4-FFF2-40B4-BE49-F238E27FC236}">
              <a16:creationId xmlns:a16="http://schemas.microsoft.com/office/drawing/2014/main" id="{00000000-0008-0000-0C00-000028050000}"/>
            </a:ext>
          </a:extLst>
        </xdr:cNvPr>
        <xdr:cNvSpPr>
          <a:spLocks noChangeShapeType="1"/>
        </xdr:cNvSpPr>
      </xdr:nvSpPr>
      <xdr:spPr bwMode="auto">
        <a:xfrm>
          <a:off x="3627120" y="909066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71</xdr:row>
      <xdr:rowOff>0</xdr:rowOff>
    </xdr:from>
    <xdr:to>
      <xdr:col>12</xdr:col>
      <xdr:colOff>7620</xdr:colOff>
      <xdr:row>71</xdr:row>
      <xdr:rowOff>0</xdr:rowOff>
    </xdr:to>
    <xdr:sp macro="" textlink="">
      <xdr:nvSpPr>
        <xdr:cNvPr id="1321" name="Line 160">
          <a:extLst>
            <a:ext uri="{FF2B5EF4-FFF2-40B4-BE49-F238E27FC236}">
              <a16:creationId xmlns:a16="http://schemas.microsoft.com/office/drawing/2014/main" id="{00000000-0008-0000-0C00-000029050000}"/>
            </a:ext>
          </a:extLst>
        </xdr:cNvPr>
        <xdr:cNvSpPr>
          <a:spLocks noChangeShapeType="1"/>
        </xdr:cNvSpPr>
      </xdr:nvSpPr>
      <xdr:spPr bwMode="auto">
        <a:xfrm>
          <a:off x="4297680" y="909066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71</xdr:row>
      <xdr:rowOff>0</xdr:rowOff>
    </xdr:from>
    <xdr:to>
      <xdr:col>13</xdr:col>
      <xdr:colOff>7620</xdr:colOff>
      <xdr:row>71</xdr:row>
      <xdr:rowOff>0</xdr:rowOff>
    </xdr:to>
    <xdr:sp macro="" textlink="">
      <xdr:nvSpPr>
        <xdr:cNvPr id="1322" name="Line 161">
          <a:extLst>
            <a:ext uri="{FF2B5EF4-FFF2-40B4-BE49-F238E27FC236}">
              <a16:creationId xmlns:a16="http://schemas.microsoft.com/office/drawing/2014/main" id="{00000000-0008-0000-0C00-00002A050000}"/>
            </a:ext>
          </a:extLst>
        </xdr:cNvPr>
        <xdr:cNvSpPr>
          <a:spLocks noChangeShapeType="1"/>
        </xdr:cNvSpPr>
      </xdr:nvSpPr>
      <xdr:spPr bwMode="auto">
        <a:xfrm>
          <a:off x="4983480" y="909066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71</xdr:row>
      <xdr:rowOff>0</xdr:rowOff>
    </xdr:from>
    <xdr:to>
      <xdr:col>14</xdr:col>
      <xdr:colOff>7620</xdr:colOff>
      <xdr:row>71</xdr:row>
      <xdr:rowOff>0</xdr:rowOff>
    </xdr:to>
    <xdr:sp macro="" textlink="">
      <xdr:nvSpPr>
        <xdr:cNvPr id="1323" name="Line 162">
          <a:extLst>
            <a:ext uri="{FF2B5EF4-FFF2-40B4-BE49-F238E27FC236}">
              <a16:creationId xmlns:a16="http://schemas.microsoft.com/office/drawing/2014/main" id="{00000000-0008-0000-0C00-00002B050000}"/>
            </a:ext>
          </a:extLst>
        </xdr:cNvPr>
        <xdr:cNvSpPr>
          <a:spLocks noChangeShapeType="1"/>
        </xdr:cNvSpPr>
      </xdr:nvSpPr>
      <xdr:spPr bwMode="auto">
        <a:xfrm>
          <a:off x="5654040" y="909066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72</xdr:row>
      <xdr:rowOff>0</xdr:rowOff>
    </xdr:from>
    <xdr:to>
      <xdr:col>6</xdr:col>
      <xdr:colOff>7620</xdr:colOff>
      <xdr:row>72</xdr:row>
      <xdr:rowOff>0</xdr:rowOff>
    </xdr:to>
    <xdr:sp macro="" textlink="">
      <xdr:nvSpPr>
        <xdr:cNvPr id="1324" name="Line 163">
          <a:extLst>
            <a:ext uri="{FF2B5EF4-FFF2-40B4-BE49-F238E27FC236}">
              <a16:creationId xmlns:a16="http://schemas.microsoft.com/office/drawing/2014/main" id="{00000000-0008-0000-0C00-00002C050000}"/>
            </a:ext>
          </a:extLst>
        </xdr:cNvPr>
        <xdr:cNvSpPr>
          <a:spLocks noChangeShapeType="1"/>
        </xdr:cNvSpPr>
      </xdr:nvSpPr>
      <xdr:spPr bwMode="auto">
        <a:xfrm>
          <a:off x="495300" y="922782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72</xdr:row>
      <xdr:rowOff>0</xdr:rowOff>
    </xdr:from>
    <xdr:to>
      <xdr:col>7</xdr:col>
      <xdr:colOff>7620</xdr:colOff>
      <xdr:row>72</xdr:row>
      <xdr:rowOff>0</xdr:rowOff>
    </xdr:to>
    <xdr:sp macro="" textlink="">
      <xdr:nvSpPr>
        <xdr:cNvPr id="1325" name="Line 164">
          <a:extLst>
            <a:ext uri="{FF2B5EF4-FFF2-40B4-BE49-F238E27FC236}">
              <a16:creationId xmlns:a16="http://schemas.microsoft.com/office/drawing/2014/main" id="{00000000-0008-0000-0C00-00002D050000}"/>
            </a:ext>
          </a:extLst>
        </xdr:cNvPr>
        <xdr:cNvSpPr>
          <a:spLocks noChangeShapeType="1"/>
        </xdr:cNvSpPr>
      </xdr:nvSpPr>
      <xdr:spPr bwMode="auto">
        <a:xfrm>
          <a:off x="1082040" y="92278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72</xdr:row>
      <xdr:rowOff>0</xdr:rowOff>
    </xdr:from>
    <xdr:to>
      <xdr:col>8</xdr:col>
      <xdr:colOff>7620</xdr:colOff>
      <xdr:row>72</xdr:row>
      <xdr:rowOff>0</xdr:rowOff>
    </xdr:to>
    <xdr:sp macro="" textlink="">
      <xdr:nvSpPr>
        <xdr:cNvPr id="1326" name="Line 165">
          <a:extLst>
            <a:ext uri="{FF2B5EF4-FFF2-40B4-BE49-F238E27FC236}">
              <a16:creationId xmlns:a16="http://schemas.microsoft.com/office/drawing/2014/main" id="{00000000-0008-0000-0C00-00002E050000}"/>
            </a:ext>
          </a:extLst>
        </xdr:cNvPr>
        <xdr:cNvSpPr>
          <a:spLocks noChangeShapeType="1"/>
        </xdr:cNvSpPr>
      </xdr:nvSpPr>
      <xdr:spPr bwMode="auto">
        <a:xfrm>
          <a:off x="1752600" y="92278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72</xdr:row>
      <xdr:rowOff>0</xdr:rowOff>
    </xdr:from>
    <xdr:to>
      <xdr:col>9</xdr:col>
      <xdr:colOff>7620</xdr:colOff>
      <xdr:row>72</xdr:row>
      <xdr:rowOff>0</xdr:rowOff>
    </xdr:to>
    <xdr:sp macro="" textlink="">
      <xdr:nvSpPr>
        <xdr:cNvPr id="1327" name="Line 166">
          <a:extLst>
            <a:ext uri="{FF2B5EF4-FFF2-40B4-BE49-F238E27FC236}">
              <a16:creationId xmlns:a16="http://schemas.microsoft.com/office/drawing/2014/main" id="{00000000-0008-0000-0C00-00002F050000}"/>
            </a:ext>
          </a:extLst>
        </xdr:cNvPr>
        <xdr:cNvSpPr>
          <a:spLocks noChangeShapeType="1"/>
        </xdr:cNvSpPr>
      </xdr:nvSpPr>
      <xdr:spPr bwMode="auto">
        <a:xfrm>
          <a:off x="2438400" y="92278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72</xdr:row>
      <xdr:rowOff>0</xdr:rowOff>
    </xdr:from>
    <xdr:to>
      <xdr:col>10</xdr:col>
      <xdr:colOff>7620</xdr:colOff>
      <xdr:row>72</xdr:row>
      <xdr:rowOff>0</xdr:rowOff>
    </xdr:to>
    <xdr:sp macro="" textlink="">
      <xdr:nvSpPr>
        <xdr:cNvPr id="1328" name="Line 167">
          <a:extLst>
            <a:ext uri="{FF2B5EF4-FFF2-40B4-BE49-F238E27FC236}">
              <a16:creationId xmlns:a16="http://schemas.microsoft.com/office/drawing/2014/main" id="{00000000-0008-0000-0C00-000030050000}"/>
            </a:ext>
          </a:extLst>
        </xdr:cNvPr>
        <xdr:cNvSpPr>
          <a:spLocks noChangeShapeType="1"/>
        </xdr:cNvSpPr>
      </xdr:nvSpPr>
      <xdr:spPr bwMode="auto">
        <a:xfrm>
          <a:off x="3108960" y="922782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72</xdr:row>
      <xdr:rowOff>0</xdr:rowOff>
    </xdr:from>
    <xdr:to>
      <xdr:col>11</xdr:col>
      <xdr:colOff>7620</xdr:colOff>
      <xdr:row>72</xdr:row>
      <xdr:rowOff>0</xdr:rowOff>
    </xdr:to>
    <xdr:sp macro="" textlink="">
      <xdr:nvSpPr>
        <xdr:cNvPr id="1329" name="Line 168">
          <a:extLst>
            <a:ext uri="{FF2B5EF4-FFF2-40B4-BE49-F238E27FC236}">
              <a16:creationId xmlns:a16="http://schemas.microsoft.com/office/drawing/2014/main" id="{00000000-0008-0000-0C00-000031050000}"/>
            </a:ext>
          </a:extLst>
        </xdr:cNvPr>
        <xdr:cNvSpPr>
          <a:spLocks noChangeShapeType="1"/>
        </xdr:cNvSpPr>
      </xdr:nvSpPr>
      <xdr:spPr bwMode="auto">
        <a:xfrm>
          <a:off x="3627120" y="92278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72</xdr:row>
      <xdr:rowOff>0</xdr:rowOff>
    </xdr:from>
    <xdr:to>
      <xdr:col>12</xdr:col>
      <xdr:colOff>7620</xdr:colOff>
      <xdr:row>72</xdr:row>
      <xdr:rowOff>0</xdr:rowOff>
    </xdr:to>
    <xdr:sp macro="" textlink="">
      <xdr:nvSpPr>
        <xdr:cNvPr id="1330" name="Line 169">
          <a:extLst>
            <a:ext uri="{FF2B5EF4-FFF2-40B4-BE49-F238E27FC236}">
              <a16:creationId xmlns:a16="http://schemas.microsoft.com/office/drawing/2014/main" id="{00000000-0008-0000-0C00-000032050000}"/>
            </a:ext>
          </a:extLst>
        </xdr:cNvPr>
        <xdr:cNvSpPr>
          <a:spLocks noChangeShapeType="1"/>
        </xdr:cNvSpPr>
      </xdr:nvSpPr>
      <xdr:spPr bwMode="auto">
        <a:xfrm>
          <a:off x="4297680" y="92278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72</xdr:row>
      <xdr:rowOff>0</xdr:rowOff>
    </xdr:from>
    <xdr:to>
      <xdr:col>13</xdr:col>
      <xdr:colOff>7620</xdr:colOff>
      <xdr:row>72</xdr:row>
      <xdr:rowOff>0</xdr:rowOff>
    </xdr:to>
    <xdr:sp macro="" textlink="">
      <xdr:nvSpPr>
        <xdr:cNvPr id="1331" name="Line 170">
          <a:extLst>
            <a:ext uri="{FF2B5EF4-FFF2-40B4-BE49-F238E27FC236}">
              <a16:creationId xmlns:a16="http://schemas.microsoft.com/office/drawing/2014/main" id="{00000000-0008-0000-0C00-000033050000}"/>
            </a:ext>
          </a:extLst>
        </xdr:cNvPr>
        <xdr:cNvSpPr>
          <a:spLocks noChangeShapeType="1"/>
        </xdr:cNvSpPr>
      </xdr:nvSpPr>
      <xdr:spPr bwMode="auto">
        <a:xfrm>
          <a:off x="4983480" y="92278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72</xdr:row>
      <xdr:rowOff>0</xdr:rowOff>
    </xdr:from>
    <xdr:to>
      <xdr:col>14</xdr:col>
      <xdr:colOff>7620</xdr:colOff>
      <xdr:row>72</xdr:row>
      <xdr:rowOff>0</xdr:rowOff>
    </xdr:to>
    <xdr:sp macro="" textlink="">
      <xdr:nvSpPr>
        <xdr:cNvPr id="1332" name="Line 171">
          <a:extLst>
            <a:ext uri="{FF2B5EF4-FFF2-40B4-BE49-F238E27FC236}">
              <a16:creationId xmlns:a16="http://schemas.microsoft.com/office/drawing/2014/main" id="{00000000-0008-0000-0C00-000034050000}"/>
            </a:ext>
          </a:extLst>
        </xdr:cNvPr>
        <xdr:cNvSpPr>
          <a:spLocks noChangeShapeType="1"/>
        </xdr:cNvSpPr>
      </xdr:nvSpPr>
      <xdr:spPr bwMode="auto">
        <a:xfrm>
          <a:off x="5654040" y="922782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73</xdr:row>
      <xdr:rowOff>0</xdr:rowOff>
    </xdr:from>
    <xdr:to>
      <xdr:col>6</xdr:col>
      <xdr:colOff>7620</xdr:colOff>
      <xdr:row>73</xdr:row>
      <xdr:rowOff>0</xdr:rowOff>
    </xdr:to>
    <xdr:sp macro="" textlink="">
      <xdr:nvSpPr>
        <xdr:cNvPr id="1333" name="Line 172">
          <a:extLst>
            <a:ext uri="{FF2B5EF4-FFF2-40B4-BE49-F238E27FC236}">
              <a16:creationId xmlns:a16="http://schemas.microsoft.com/office/drawing/2014/main" id="{00000000-0008-0000-0C00-000035050000}"/>
            </a:ext>
          </a:extLst>
        </xdr:cNvPr>
        <xdr:cNvSpPr>
          <a:spLocks noChangeShapeType="1"/>
        </xdr:cNvSpPr>
      </xdr:nvSpPr>
      <xdr:spPr bwMode="auto">
        <a:xfrm>
          <a:off x="495300" y="936498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73</xdr:row>
      <xdr:rowOff>0</xdr:rowOff>
    </xdr:from>
    <xdr:to>
      <xdr:col>7</xdr:col>
      <xdr:colOff>7620</xdr:colOff>
      <xdr:row>73</xdr:row>
      <xdr:rowOff>0</xdr:rowOff>
    </xdr:to>
    <xdr:sp macro="" textlink="">
      <xdr:nvSpPr>
        <xdr:cNvPr id="1334" name="Line 173">
          <a:extLst>
            <a:ext uri="{FF2B5EF4-FFF2-40B4-BE49-F238E27FC236}">
              <a16:creationId xmlns:a16="http://schemas.microsoft.com/office/drawing/2014/main" id="{00000000-0008-0000-0C00-000036050000}"/>
            </a:ext>
          </a:extLst>
        </xdr:cNvPr>
        <xdr:cNvSpPr>
          <a:spLocks noChangeShapeType="1"/>
        </xdr:cNvSpPr>
      </xdr:nvSpPr>
      <xdr:spPr bwMode="auto">
        <a:xfrm>
          <a:off x="1082040" y="93649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73</xdr:row>
      <xdr:rowOff>0</xdr:rowOff>
    </xdr:from>
    <xdr:to>
      <xdr:col>8</xdr:col>
      <xdr:colOff>7620</xdr:colOff>
      <xdr:row>73</xdr:row>
      <xdr:rowOff>0</xdr:rowOff>
    </xdr:to>
    <xdr:sp macro="" textlink="">
      <xdr:nvSpPr>
        <xdr:cNvPr id="1335" name="Line 174">
          <a:extLst>
            <a:ext uri="{FF2B5EF4-FFF2-40B4-BE49-F238E27FC236}">
              <a16:creationId xmlns:a16="http://schemas.microsoft.com/office/drawing/2014/main" id="{00000000-0008-0000-0C00-000037050000}"/>
            </a:ext>
          </a:extLst>
        </xdr:cNvPr>
        <xdr:cNvSpPr>
          <a:spLocks noChangeShapeType="1"/>
        </xdr:cNvSpPr>
      </xdr:nvSpPr>
      <xdr:spPr bwMode="auto">
        <a:xfrm>
          <a:off x="1752600" y="93649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73</xdr:row>
      <xdr:rowOff>0</xdr:rowOff>
    </xdr:from>
    <xdr:to>
      <xdr:col>9</xdr:col>
      <xdr:colOff>7620</xdr:colOff>
      <xdr:row>73</xdr:row>
      <xdr:rowOff>0</xdr:rowOff>
    </xdr:to>
    <xdr:sp macro="" textlink="">
      <xdr:nvSpPr>
        <xdr:cNvPr id="1336" name="Line 175">
          <a:extLst>
            <a:ext uri="{FF2B5EF4-FFF2-40B4-BE49-F238E27FC236}">
              <a16:creationId xmlns:a16="http://schemas.microsoft.com/office/drawing/2014/main" id="{00000000-0008-0000-0C00-000038050000}"/>
            </a:ext>
          </a:extLst>
        </xdr:cNvPr>
        <xdr:cNvSpPr>
          <a:spLocks noChangeShapeType="1"/>
        </xdr:cNvSpPr>
      </xdr:nvSpPr>
      <xdr:spPr bwMode="auto">
        <a:xfrm>
          <a:off x="2438400" y="93649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73</xdr:row>
      <xdr:rowOff>0</xdr:rowOff>
    </xdr:from>
    <xdr:to>
      <xdr:col>10</xdr:col>
      <xdr:colOff>7620</xdr:colOff>
      <xdr:row>73</xdr:row>
      <xdr:rowOff>0</xdr:rowOff>
    </xdr:to>
    <xdr:sp macro="" textlink="">
      <xdr:nvSpPr>
        <xdr:cNvPr id="1337" name="Line 176">
          <a:extLst>
            <a:ext uri="{FF2B5EF4-FFF2-40B4-BE49-F238E27FC236}">
              <a16:creationId xmlns:a16="http://schemas.microsoft.com/office/drawing/2014/main" id="{00000000-0008-0000-0C00-000039050000}"/>
            </a:ext>
          </a:extLst>
        </xdr:cNvPr>
        <xdr:cNvSpPr>
          <a:spLocks noChangeShapeType="1"/>
        </xdr:cNvSpPr>
      </xdr:nvSpPr>
      <xdr:spPr bwMode="auto">
        <a:xfrm>
          <a:off x="3108960" y="936498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73</xdr:row>
      <xdr:rowOff>0</xdr:rowOff>
    </xdr:from>
    <xdr:to>
      <xdr:col>11</xdr:col>
      <xdr:colOff>7620</xdr:colOff>
      <xdr:row>73</xdr:row>
      <xdr:rowOff>0</xdr:rowOff>
    </xdr:to>
    <xdr:sp macro="" textlink="">
      <xdr:nvSpPr>
        <xdr:cNvPr id="1338" name="Line 177">
          <a:extLst>
            <a:ext uri="{FF2B5EF4-FFF2-40B4-BE49-F238E27FC236}">
              <a16:creationId xmlns:a16="http://schemas.microsoft.com/office/drawing/2014/main" id="{00000000-0008-0000-0C00-00003A050000}"/>
            </a:ext>
          </a:extLst>
        </xdr:cNvPr>
        <xdr:cNvSpPr>
          <a:spLocks noChangeShapeType="1"/>
        </xdr:cNvSpPr>
      </xdr:nvSpPr>
      <xdr:spPr bwMode="auto">
        <a:xfrm>
          <a:off x="3627120" y="93649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73</xdr:row>
      <xdr:rowOff>0</xdr:rowOff>
    </xdr:from>
    <xdr:to>
      <xdr:col>12</xdr:col>
      <xdr:colOff>7620</xdr:colOff>
      <xdr:row>73</xdr:row>
      <xdr:rowOff>0</xdr:rowOff>
    </xdr:to>
    <xdr:sp macro="" textlink="">
      <xdr:nvSpPr>
        <xdr:cNvPr id="1339" name="Line 178">
          <a:extLst>
            <a:ext uri="{FF2B5EF4-FFF2-40B4-BE49-F238E27FC236}">
              <a16:creationId xmlns:a16="http://schemas.microsoft.com/office/drawing/2014/main" id="{00000000-0008-0000-0C00-00003B050000}"/>
            </a:ext>
          </a:extLst>
        </xdr:cNvPr>
        <xdr:cNvSpPr>
          <a:spLocks noChangeShapeType="1"/>
        </xdr:cNvSpPr>
      </xdr:nvSpPr>
      <xdr:spPr bwMode="auto">
        <a:xfrm>
          <a:off x="4297680" y="936498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73</xdr:row>
      <xdr:rowOff>0</xdr:rowOff>
    </xdr:from>
    <xdr:to>
      <xdr:col>13</xdr:col>
      <xdr:colOff>7620</xdr:colOff>
      <xdr:row>73</xdr:row>
      <xdr:rowOff>0</xdr:rowOff>
    </xdr:to>
    <xdr:sp macro="" textlink="">
      <xdr:nvSpPr>
        <xdr:cNvPr id="1340" name="Line 179">
          <a:extLst>
            <a:ext uri="{FF2B5EF4-FFF2-40B4-BE49-F238E27FC236}">
              <a16:creationId xmlns:a16="http://schemas.microsoft.com/office/drawing/2014/main" id="{00000000-0008-0000-0C00-00003C050000}"/>
            </a:ext>
          </a:extLst>
        </xdr:cNvPr>
        <xdr:cNvSpPr>
          <a:spLocks noChangeShapeType="1"/>
        </xdr:cNvSpPr>
      </xdr:nvSpPr>
      <xdr:spPr bwMode="auto">
        <a:xfrm>
          <a:off x="4983480" y="936498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73</xdr:row>
      <xdr:rowOff>0</xdr:rowOff>
    </xdr:from>
    <xdr:to>
      <xdr:col>14</xdr:col>
      <xdr:colOff>7620</xdr:colOff>
      <xdr:row>73</xdr:row>
      <xdr:rowOff>0</xdr:rowOff>
    </xdr:to>
    <xdr:sp macro="" textlink="">
      <xdr:nvSpPr>
        <xdr:cNvPr id="1341" name="Line 180">
          <a:extLst>
            <a:ext uri="{FF2B5EF4-FFF2-40B4-BE49-F238E27FC236}">
              <a16:creationId xmlns:a16="http://schemas.microsoft.com/office/drawing/2014/main" id="{00000000-0008-0000-0C00-00003D050000}"/>
            </a:ext>
          </a:extLst>
        </xdr:cNvPr>
        <xdr:cNvSpPr>
          <a:spLocks noChangeShapeType="1"/>
        </xdr:cNvSpPr>
      </xdr:nvSpPr>
      <xdr:spPr bwMode="auto">
        <a:xfrm>
          <a:off x="5654040" y="936498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74</xdr:row>
      <xdr:rowOff>0</xdr:rowOff>
    </xdr:from>
    <xdr:to>
      <xdr:col>6</xdr:col>
      <xdr:colOff>7620</xdr:colOff>
      <xdr:row>74</xdr:row>
      <xdr:rowOff>0</xdr:rowOff>
    </xdr:to>
    <xdr:sp macro="" textlink="">
      <xdr:nvSpPr>
        <xdr:cNvPr id="1342" name="Line 181">
          <a:extLst>
            <a:ext uri="{FF2B5EF4-FFF2-40B4-BE49-F238E27FC236}">
              <a16:creationId xmlns:a16="http://schemas.microsoft.com/office/drawing/2014/main" id="{00000000-0008-0000-0C00-00003E050000}"/>
            </a:ext>
          </a:extLst>
        </xdr:cNvPr>
        <xdr:cNvSpPr>
          <a:spLocks noChangeShapeType="1"/>
        </xdr:cNvSpPr>
      </xdr:nvSpPr>
      <xdr:spPr bwMode="auto">
        <a:xfrm>
          <a:off x="495300" y="950214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74</xdr:row>
      <xdr:rowOff>0</xdr:rowOff>
    </xdr:from>
    <xdr:to>
      <xdr:col>7</xdr:col>
      <xdr:colOff>7620</xdr:colOff>
      <xdr:row>74</xdr:row>
      <xdr:rowOff>0</xdr:rowOff>
    </xdr:to>
    <xdr:sp macro="" textlink="">
      <xdr:nvSpPr>
        <xdr:cNvPr id="1343" name="Line 182">
          <a:extLst>
            <a:ext uri="{FF2B5EF4-FFF2-40B4-BE49-F238E27FC236}">
              <a16:creationId xmlns:a16="http://schemas.microsoft.com/office/drawing/2014/main" id="{00000000-0008-0000-0C00-00003F050000}"/>
            </a:ext>
          </a:extLst>
        </xdr:cNvPr>
        <xdr:cNvSpPr>
          <a:spLocks noChangeShapeType="1"/>
        </xdr:cNvSpPr>
      </xdr:nvSpPr>
      <xdr:spPr bwMode="auto">
        <a:xfrm>
          <a:off x="1082040" y="95021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74</xdr:row>
      <xdr:rowOff>0</xdr:rowOff>
    </xdr:from>
    <xdr:to>
      <xdr:col>8</xdr:col>
      <xdr:colOff>7620</xdr:colOff>
      <xdr:row>74</xdr:row>
      <xdr:rowOff>0</xdr:rowOff>
    </xdr:to>
    <xdr:sp macro="" textlink="">
      <xdr:nvSpPr>
        <xdr:cNvPr id="1344" name="Line 183">
          <a:extLst>
            <a:ext uri="{FF2B5EF4-FFF2-40B4-BE49-F238E27FC236}">
              <a16:creationId xmlns:a16="http://schemas.microsoft.com/office/drawing/2014/main" id="{00000000-0008-0000-0C00-000040050000}"/>
            </a:ext>
          </a:extLst>
        </xdr:cNvPr>
        <xdr:cNvSpPr>
          <a:spLocks noChangeShapeType="1"/>
        </xdr:cNvSpPr>
      </xdr:nvSpPr>
      <xdr:spPr bwMode="auto">
        <a:xfrm>
          <a:off x="1752600" y="950214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74</xdr:row>
      <xdr:rowOff>0</xdr:rowOff>
    </xdr:from>
    <xdr:to>
      <xdr:col>9</xdr:col>
      <xdr:colOff>7620</xdr:colOff>
      <xdr:row>74</xdr:row>
      <xdr:rowOff>0</xdr:rowOff>
    </xdr:to>
    <xdr:sp macro="" textlink="">
      <xdr:nvSpPr>
        <xdr:cNvPr id="1345" name="Line 184">
          <a:extLst>
            <a:ext uri="{FF2B5EF4-FFF2-40B4-BE49-F238E27FC236}">
              <a16:creationId xmlns:a16="http://schemas.microsoft.com/office/drawing/2014/main" id="{00000000-0008-0000-0C00-000041050000}"/>
            </a:ext>
          </a:extLst>
        </xdr:cNvPr>
        <xdr:cNvSpPr>
          <a:spLocks noChangeShapeType="1"/>
        </xdr:cNvSpPr>
      </xdr:nvSpPr>
      <xdr:spPr bwMode="auto">
        <a:xfrm>
          <a:off x="2438400" y="95021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74</xdr:row>
      <xdr:rowOff>0</xdr:rowOff>
    </xdr:from>
    <xdr:to>
      <xdr:col>10</xdr:col>
      <xdr:colOff>7620</xdr:colOff>
      <xdr:row>74</xdr:row>
      <xdr:rowOff>0</xdr:rowOff>
    </xdr:to>
    <xdr:sp macro="" textlink="">
      <xdr:nvSpPr>
        <xdr:cNvPr id="1346" name="Line 185">
          <a:extLst>
            <a:ext uri="{FF2B5EF4-FFF2-40B4-BE49-F238E27FC236}">
              <a16:creationId xmlns:a16="http://schemas.microsoft.com/office/drawing/2014/main" id="{00000000-0008-0000-0C00-000042050000}"/>
            </a:ext>
          </a:extLst>
        </xdr:cNvPr>
        <xdr:cNvSpPr>
          <a:spLocks noChangeShapeType="1"/>
        </xdr:cNvSpPr>
      </xdr:nvSpPr>
      <xdr:spPr bwMode="auto">
        <a:xfrm>
          <a:off x="3108960" y="950214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74</xdr:row>
      <xdr:rowOff>0</xdr:rowOff>
    </xdr:from>
    <xdr:to>
      <xdr:col>11</xdr:col>
      <xdr:colOff>7620</xdr:colOff>
      <xdr:row>74</xdr:row>
      <xdr:rowOff>0</xdr:rowOff>
    </xdr:to>
    <xdr:sp macro="" textlink="">
      <xdr:nvSpPr>
        <xdr:cNvPr id="1347" name="Line 186">
          <a:extLst>
            <a:ext uri="{FF2B5EF4-FFF2-40B4-BE49-F238E27FC236}">
              <a16:creationId xmlns:a16="http://schemas.microsoft.com/office/drawing/2014/main" id="{00000000-0008-0000-0C00-000043050000}"/>
            </a:ext>
          </a:extLst>
        </xdr:cNvPr>
        <xdr:cNvSpPr>
          <a:spLocks noChangeShapeType="1"/>
        </xdr:cNvSpPr>
      </xdr:nvSpPr>
      <xdr:spPr bwMode="auto">
        <a:xfrm>
          <a:off x="3627120" y="95021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74</xdr:row>
      <xdr:rowOff>0</xdr:rowOff>
    </xdr:from>
    <xdr:to>
      <xdr:col>12</xdr:col>
      <xdr:colOff>7620</xdr:colOff>
      <xdr:row>74</xdr:row>
      <xdr:rowOff>0</xdr:rowOff>
    </xdr:to>
    <xdr:sp macro="" textlink="">
      <xdr:nvSpPr>
        <xdr:cNvPr id="1348" name="Line 187">
          <a:extLst>
            <a:ext uri="{FF2B5EF4-FFF2-40B4-BE49-F238E27FC236}">
              <a16:creationId xmlns:a16="http://schemas.microsoft.com/office/drawing/2014/main" id="{00000000-0008-0000-0C00-000044050000}"/>
            </a:ext>
          </a:extLst>
        </xdr:cNvPr>
        <xdr:cNvSpPr>
          <a:spLocks noChangeShapeType="1"/>
        </xdr:cNvSpPr>
      </xdr:nvSpPr>
      <xdr:spPr bwMode="auto">
        <a:xfrm>
          <a:off x="4297680" y="950214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74</xdr:row>
      <xdr:rowOff>0</xdr:rowOff>
    </xdr:from>
    <xdr:to>
      <xdr:col>13</xdr:col>
      <xdr:colOff>7620</xdr:colOff>
      <xdr:row>74</xdr:row>
      <xdr:rowOff>0</xdr:rowOff>
    </xdr:to>
    <xdr:sp macro="" textlink="">
      <xdr:nvSpPr>
        <xdr:cNvPr id="1349" name="Line 188">
          <a:extLst>
            <a:ext uri="{FF2B5EF4-FFF2-40B4-BE49-F238E27FC236}">
              <a16:creationId xmlns:a16="http://schemas.microsoft.com/office/drawing/2014/main" id="{00000000-0008-0000-0C00-000045050000}"/>
            </a:ext>
          </a:extLst>
        </xdr:cNvPr>
        <xdr:cNvSpPr>
          <a:spLocks noChangeShapeType="1"/>
        </xdr:cNvSpPr>
      </xdr:nvSpPr>
      <xdr:spPr bwMode="auto">
        <a:xfrm>
          <a:off x="4983480" y="950214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74</xdr:row>
      <xdr:rowOff>0</xdr:rowOff>
    </xdr:from>
    <xdr:to>
      <xdr:col>14</xdr:col>
      <xdr:colOff>7620</xdr:colOff>
      <xdr:row>74</xdr:row>
      <xdr:rowOff>0</xdr:rowOff>
    </xdr:to>
    <xdr:sp macro="" textlink="">
      <xdr:nvSpPr>
        <xdr:cNvPr id="1350" name="Line 189">
          <a:extLst>
            <a:ext uri="{FF2B5EF4-FFF2-40B4-BE49-F238E27FC236}">
              <a16:creationId xmlns:a16="http://schemas.microsoft.com/office/drawing/2014/main" id="{00000000-0008-0000-0C00-000046050000}"/>
            </a:ext>
          </a:extLst>
        </xdr:cNvPr>
        <xdr:cNvSpPr>
          <a:spLocks noChangeShapeType="1"/>
        </xdr:cNvSpPr>
      </xdr:nvSpPr>
      <xdr:spPr bwMode="auto">
        <a:xfrm>
          <a:off x="5654040" y="950214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5</xdr:col>
      <xdr:colOff>7620</xdr:colOff>
      <xdr:row>77</xdr:row>
      <xdr:rowOff>0</xdr:rowOff>
    </xdr:from>
    <xdr:to>
      <xdr:col>6</xdr:col>
      <xdr:colOff>7620</xdr:colOff>
      <xdr:row>77</xdr:row>
      <xdr:rowOff>0</xdr:rowOff>
    </xdr:to>
    <xdr:sp macro="" textlink="">
      <xdr:nvSpPr>
        <xdr:cNvPr id="1351" name="Line 190">
          <a:extLst>
            <a:ext uri="{FF2B5EF4-FFF2-40B4-BE49-F238E27FC236}">
              <a16:creationId xmlns:a16="http://schemas.microsoft.com/office/drawing/2014/main" id="{00000000-0008-0000-0C00-000047050000}"/>
            </a:ext>
          </a:extLst>
        </xdr:cNvPr>
        <xdr:cNvSpPr>
          <a:spLocks noChangeShapeType="1"/>
        </xdr:cNvSpPr>
      </xdr:nvSpPr>
      <xdr:spPr bwMode="auto">
        <a:xfrm>
          <a:off x="495300" y="9913620"/>
          <a:ext cx="58674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6</xdr:col>
      <xdr:colOff>7620</xdr:colOff>
      <xdr:row>77</xdr:row>
      <xdr:rowOff>0</xdr:rowOff>
    </xdr:from>
    <xdr:to>
      <xdr:col>7</xdr:col>
      <xdr:colOff>7620</xdr:colOff>
      <xdr:row>77</xdr:row>
      <xdr:rowOff>0</xdr:rowOff>
    </xdr:to>
    <xdr:sp macro="" textlink="">
      <xdr:nvSpPr>
        <xdr:cNvPr id="1352" name="Line 191">
          <a:extLst>
            <a:ext uri="{FF2B5EF4-FFF2-40B4-BE49-F238E27FC236}">
              <a16:creationId xmlns:a16="http://schemas.microsoft.com/office/drawing/2014/main" id="{00000000-0008-0000-0C00-000048050000}"/>
            </a:ext>
          </a:extLst>
        </xdr:cNvPr>
        <xdr:cNvSpPr>
          <a:spLocks noChangeShapeType="1"/>
        </xdr:cNvSpPr>
      </xdr:nvSpPr>
      <xdr:spPr bwMode="auto">
        <a:xfrm>
          <a:off x="1082040" y="99136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7</xdr:col>
      <xdr:colOff>7620</xdr:colOff>
      <xdr:row>77</xdr:row>
      <xdr:rowOff>0</xdr:rowOff>
    </xdr:from>
    <xdr:to>
      <xdr:col>8</xdr:col>
      <xdr:colOff>7620</xdr:colOff>
      <xdr:row>77</xdr:row>
      <xdr:rowOff>0</xdr:rowOff>
    </xdr:to>
    <xdr:sp macro="" textlink="">
      <xdr:nvSpPr>
        <xdr:cNvPr id="1353" name="Line 192">
          <a:extLst>
            <a:ext uri="{FF2B5EF4-FFF2-40B4-BE49-F238E27FC236}">
              <a16:creationId xmlns:a16="http://schemas.microsoft.com/office/drawing/2014/main" id="{00000000-0008-0000-0C00-000049050000}"/>
            </a:ext>
          </a:extLst>
        </xdr:cNvPr>
        <xdr:cNvSpPr>
          <a:spLocks noChangeShapeType="1"/>
        </xdr:cNvSpPr>
      </xdr:nvSpPr>
      <xdr:spPr bwMode="auto">
        <a:xfrm>
          <a:off x="1752600" y="99136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8</xdr:col>
      <xdr:colOff>7620</xdr:colOff>
      <xdr:row>77</xdr:row>
      <xdr:rowOff>0</xdr:rowOff>
    </xdr:from>
    <xdr:to>
      <xdr:col>9</xdr:col>
      <xdr:colOff>7620</xdr:colOff>
      <xdr:row>77</xdr:row>
      <xdr:rowOff>0</xdr:rowOff>
    </xdr:to>
    <xdr:sp macro="" textlink="">
      <xdr:nvSpPr>
        <xdr:cNvPr id="1354" name="Line 193">
          <a:extLst>
            <a:ext uri="{FF2B5EF4-FFF2-40B4-BE49-F238E27FC236}">
              <a16:creationId xmlns:a16="http://schemas.microsoft.com/office/drawing/2014/main" id="{00000000-0008-0000-0C00-00004A050000}"/>
            </a:ext>
          </a:extLst>
        </xdr:cNvPr>
        <xdr:cNvSpPr>
          <a:spLocks noChangeShapeType="1"/>
        </xdr:cNvSpPr>
      </xdr:nvSpPr>
      <xdr:spPr bwMode="auto">
        <a:xfrm>
          <a:off x="2438400" y="99136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9</xdr:col>
      <xdr:colOff>7620</xdr:colOff>
      <xdr:row>77</xdr:row>
      <xdr:rowOff>0</xdr:rowOff>
    </xdr:from>
    <xdr:to>
      <xdr:col>10</xdr:col>
      <xdr:colOff>7620</xdr:colOff>
      <xdr:row>77</xdr:row>
      <xdr:rowOff>0</xdr:rowOff>
    </xdr:to>
    <xdr:sp macro="" textlink="">
      <xdr:nvSpPr>
        <xdr:cNvPr id="1355" name="Line 194">
          <a:extLst>
            <a:ext uri="{FF2B5EF4-FFF2-40B4-BE49-F238E27FC236}">
              <a16:creationId xmlns:a16="http://schemas.microsoft.com/office/drawing/2014/main" id="{00000000-0008-0000-0C00-00004B050000}"/>
            </a:ext>
          </a:extLst>
        </xdr:cNvPr>
        <xdr:cNvSpPr>
          <a:spLocks noChangeShapeType="1"/>
        </xdr:cNvSpPr>
      </xdr:nvSpPr>
      <xdr:spPr bwMode="auto">
        <a:xfrm>
          <a:off x="3108960" y="9913620"/>
          <a:ext cx="5181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10</xdr:col>
      <xdr:colOff>7620</xdr:colOff>
      <xdr:row>77</xdr:row>
      <xdr:rowOff>0</xdr:rowOff>
    </xdr:from>
    <xdr:to>
      <xdr:col>11</xdr:col>
      <xdr:colOff>7620</xdr:colOff>
      <xdr:row>77</xdr:row>
      <xdr:rowOff>0</xdr:rowOff>
    </xdr:to>
    <xdr:sp macro="" textlink="">
      <xdr:nvSpPr>
        <xdr:cNvPr id="1356" name="Line 195">
          <a:extLst>
            <a:ext uri="{FF2B5EF4-FFF2-40B4-BE49-F238E27FC236}">
              <a16:creationId xmlns:a16="http://schemas.microsoft.com/office/drawing/2014/main" id="{00000000-0008-0000-0C00-00004C050000}"/>
            </a:ext>
          </a:extLst>
        </xdr:cNvPr>
        <xdr:cNvSpPr>
          <a:spLocks noChangeShapeType="1"/>
        </xdr:cNvSpPr>
      </xdr:nvSpPr>
      <xdr:spPr bwMode="auto">
        <a:xfrm>
          <a:off x="3627120" y="99136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11</xdr:col>
      <xdr:colOff>7620</xdr:colOff>
      <xdr:row>77</xdr:row>
      <xdr:rowOff>0</xdr:rowOff>
    </xdr:from>
    <xdr:to>
      <xdr:col>12</xdr:col>
      <xdr:colOff>7620</xdr:colOff>
      <xdr:row>77</xdr:row>
      <xdr:rowOff>0</xdr:rowOff>
    </xdr:to>
    <xdr:sp macro="" textlink="">
      <xdr:nvSpPr>
        <xdr:cNvPr id="1357" name="Line 196">
          <a:extLst>
            <a:ext uri="{FF2B5EF4-FFF2-40B4-BE49-F238E27FC236}">
              <a16:creationId xmlns:a16="http://schemas.microsoft.com/office/drawing/2014/main" id="{00000000-0008-0000-0C00-00004D050000}"/>
            </a:ext>
          </a:extLst>
        </xdr:cNvPr>
        <xdr:cNvSpPr>
          <a:spLocks noChangeShapeType="1"/>
        </xdr:cNvSpPr>
      </xdr:nvSpPr>
      <xdr:spPr bwMode="auto">
        <a:xfrm>
          <a:off x="4297680" y="9913620"/>
          <a:ext cx="68580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12</xdr:col>
      <xdr:colOff>7620</xdr:colOff>
      <xdr:row>77</xdr:row>
      <xdr:rowOff>0</xdr:rowOff>
    </xdr:from>
    <xdr:to>
      <xdr:col>13</xdr:col>
      <xdr:colOff>7620</xdr:colOff>
      <xdr:row>77</xdr:row>
      <xdr:rowOff>0</xdr:rowOff>
    </xdr:to>
    <xdr:sp macro="" textlink="">
      <xdr:nvSpPr>
        <xdr:cNvPr id="1358" name="Line 197">
          <a:extLst>
            <a:ext uri="{FF2B5EF4-FFF2-40B4-BE49-F238E27FC236}">
              <a16:creationId xmlns:a16="http://schemas.microsoft.com/office/drawing/2014/main" id="{00000000-0008-0000-0C00-00004E050000}"/>
            </a:ext>
          </a:extLst>
        </xdr:cNvPr>
        <xdr:cNvSpPr>
          <a:spLocks noChangeShapeType="1"/>
        </xdr:cNvSpPr>
      </xdr:nvSpPr>
      <xdr:spPr bwMode="auto">
        <a:xfrm>
          <a:off x="4983480" y="9913620"/>
          <a:ext cx="6705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twoCellAnchor>
    <xdr:from>
      <xdr:col>13</xdr:col>
      <xdr:colOff>7620</xdr:colOff>
      <xdr:row>77</xdr:row>
      <xdr:rowOff>0</xdr:rowOff>
    </xdr:from>
    <xdr:to>
      <xdr:col>14</xdr:col>
      <xdr:colOff>7620</xdr:colOff>
      <xdr:row>77</xdr:row>
      <xdr:rowOff>0</xdr:rowOff>
    </xdr:to>
    <xdr:sp macro="" textlink="">
      <xdr:nvSpPr>
        <xdr:cNvPr id="1359" name="Line 198">
          <a:extLst>
            <a:ext uri="{FF2B5EF4-FFF2-40B4-BE49-F238E27FC236}">
              <a16:creationId xmlns:a16="http://schemas.microsoft.com/office/drawing/2014/main" id="{00000000-0008-0000-0C00-00004F050000}"/>
            </a:ext>
          </a:extLst>
        </xdr:cNvPr>
        <xdr:cNvSpPr>
          <a:spLocks noChangeShapeType="1"/>
        </xdr:cNvSpPr>
      </xdr:nvSpPr>
      <xdr:spPr bwMode="auto">
        <a:xfrm>
          <a:off x="5654040" y="9913620"/>
          <a:ext cx="708660" cy="0"/>
        </a:xfrm>
        <a:prstGeom prst="line">
          <a:avLst/>
        </a:prstGeom>
        <a:noFill/>
        <a:ln w="1" cap="flat">
          <a:solidFill>
            <a:srgbClr xmlns:mc="http://schemas.openxmlformats.org/markup-compatibility/2006" xmlns:a14="http://schemas.microsoft.com/office/drawing/2010/main" val="808080" mc:Ignorable="a14" a14:legacySpreadsheetColorIndex="23"/>
          </a:solidFill>
          <a:prstDash val="solid"/>
          <a:round/>
          <a:headEnd/>
          <a:tailEnd type="none" w="sm" len="sm"/>
        </a:ln>
        <a:extLst>
          <a:ext uri="{909E8E84-426E-40DD-AFC4-6F175D3DCCD1}">
            <a14:hiddenFill xmlns:a14="http://schemas.microsoft.com/office/drawing/2010/main">
              <a:noFill/>
            </a14:hiddenFill>
          </a:ext>
        </a:extLst>
      </xdr:spPr>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33</xdr:row>
      <xdr:rowOff>9525</xdr:rowOff>
    </xdr:from>
    <xdr:to>
      <xdr:col>6</xdr:col>
      <xdr:colOff>3579488</xdr:colOff>
      <xdr:row>42</xdr:row>
      <xdr:rowOff>38100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9525" y="5867400"/>
          <a:ext cx="9027788" cy="1666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sng" strike="noStrike" baseline="0">
              <a:solidFill>
                <a:srgbClr val="000000"/>
              </a:solidFill>
              <a:latin typeface="Arial"/>
              <a:cs typeface="Arial"/>
            </a:rPr>
            <a:t>Notes:</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 This cost opinion is a rough order of magnitude (ROM) cost estimate in 2021 dollars and has been prepared for project guidance based on current monitoring and program costs and predicted future costs. The actual post-closure costs will depend on competitive market conditions, actual labor and material costs, actual site conditions, productivity, project scope, schedule, and other factors. As a result, the actual costs will vary from those presented above. Because of these factors, funding needs must be carefully reviewed prior to making specific financial decisions or establishing final budgets.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EA = each</a:t>
          </a:r>
        </a:p>
        <a:p>
          <a:pPr algn="l" rtl="0">
            <a:defRPr sz="1000"/>
          </a:pPr>
          <a:r>
            <a:rPr lang="en-US" sz="1000" b="0" i="0" u="none" strike="noStrike" baseline="0">
              <a:solidFill>
                <a:srgbClr val="000000"/>
              </a:solidFill>
              <a:latin typeface="Arial"/>
              <a:cs typeface="Arial"/>
            </a:rPr>
            <a:t>HRS = hours</a:t>
          </a:r>
        </a:p>
        <a:p>
          <a:pPr algn="l" rtl="0">
            <a:defRPr sz="1000"/>
          </a:pPr>
          <a:r>
            <a:rPr lang="en-US" sz="1000" b="0" i="0" u="none" strike="noStrike" baseline="0">
              <a:solidFill>
                <a:srgbClr val="000000"/>
              </a:solidFill>
              <a:latin typeface="Arial"/>
              <a:cs typeface="Arial"/>
            </a:rPr>
            <a:t>LS = lump sum</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0041-7580-4E25-92D8-F5BDCE77A679}">
  <sheetPr codeName="Sheet22">
    <tabColor rgb="FFFF0000"/>
  </sheetPr>
  <dimension ref="B2:I69"/>
  <sheetViews>
    <sheetView workbookViewId="0">
      <selection activeCell="F16" sqref="F16"/>
    </sheetView>
  </sheetViews>
  <sheetFormatPr defaultColWidth="9.1796875" defaultRowHeight="12.5" x14ac:dyDescent="0.25"/>
  <cols>
    <col min="1" max="1" width="9.1796875" style="2"/>
    <col min="2" max="2" width="40.54296875" style="2" customWidth="1"/>
    <col min="3" max="3" width="39.54296875" style="2" bestFit="1" customWidth="1"/>
    <col min="4" max="4" width="9.1796875" style="2"/>
    <col min="5" max="5" width="15" style="40" bestFit="1" customWidth="1"/>
    <col min="6" max="7" width="8.81640625" style="40" bestFit="1" customWidth="1"/>
    <col min="8" max="8" width="9.1796875" style="40"/>
    <col min="9" max="9" width="7.7265625" style="2" bestFit="1" customWidth="1"/>
    <col min="10" max="16384" width="9.1796875" style="2"/>
  </cols>
  <sheetData>
    <row r="2" spans="2:9" ht="13" x14ac:dyDescent="0.3">
      <c r="B2" s="443" t="s">
        <v>511</v>
      </c>
    </row>
    <row r="4" spans="2:9" x14ac:dyDescent="0.25">
      <c r="B4" s="3" t="s">
        <v>454</v>
      </c>
    </row>
    <row r="5" spans="2:9" x14ac:dyDescent="0.25">
      <c r="B5" s="3" t="s">
        <v>514</v>
      </c>
    </row>
    <row r="6" spans="2:9" x14ac:dyDescent="0.25">
      <c r="B6" s="3" t="s">
        <v>515</v>
      </c>
    </row>
    <row r="7" spans="2:9" x14ac:dyDescent="0.25">
      <c r="B7" s="3" t="s">
        <v>516</v>
      </c>
      <c r="D7" s="514"/>
      <c r="G7" s="15"/>
    </row>
    <row r="8" spans="2:9" x14ac:dyDescent="0.25">
      <c r="B8" s="3" t="s">
        <v>455</v>
      </c>
      <c r="D8" s="514"/>
    </row>
    <row r="9" spans="2:9" x14ac:dyDescent="0.25">
      <c r="B9" s="2" t="s">
        <v>458</v>
      </c>
    </row>
    <row r="11" spans="2:9" ht="13" x14ac:dyDescent="0.3">
      <c r="B11" s="717" t="s">
        <v>463</v>
      </c>
      <c r="C11" s="717"/>
      <c r="E11" s="718" t="s">
        <v>460</v>
      </c>
      <c r="F11" s="718"/>
      <c r="G11" s="718"/>
      <c r="H11" s="718"/>
      <c r="I11" s="606" t="s">
        <v>509</v>
      </c>
    </row>
    <row r="12" spans="2:9" x14ac:dyDescent="0.25">
      <c r="B12" s="518" t="s">
        <v>456</v>
      </c>
      <c r="C12" s="519">
        <f>Forecast_Landfill!E43</f>
        <v>65.430000000000007</v>
      </c>
      <c r="E12" s="40" t="s">
        <v>15</v>
      </c>
      <c r="F12" s="660" t="s">
        <v>655</v>
      </c>
      <c r="G12" s="40" t="s">
        <v>461</v>
      </c>
      <c r="H12" s="40" t="s">
        <v>462</v>
      </c>
      <c r="I12" s="15"/>
    </row>
    <row r="13" spans="2:9" x14ac:dyDescent="0.25">
      <c r="B13" s="520" t="s">
        <v>459</v>
      </c>
      <c r="C13" s="519">
        <f>Forecast_Landfill!AU43</f>
        <v>50.5</v>
      </c>
      <c r="E13" s="40">
        <v>2024</v>
      </c>
      <c r="F13" s="515">
        <f>G13</f>
        <v>65.430000000000007</v>
      </c>
      <c r="G13" s="515">
        <f>VLOOKUP(E13,$E$27:$F$69,2,FALSE)</f>
        <v>65.430000000000007</v>
      </c>
      <c r="H13" s="515">
        <f>F13-G13</f>
        <v>0</v>
      </c>
      <c r="I13" s="515">
        <f t="shared" ref="I13:I20" si="0">G13/(1+Inf)^(E13-2024)</f>
        <v>65.430000000000007</v>
      </c>
    </row>
    <row r="14" spans="2:9" x14ac:dyDescent="0.25">
      <c r="B14" s="516" t="s">
        <v>467</v>
      </c>
      <c r="C14" s="517">
        <f>C12*(1+Inf)^42</f>
        <v>226.43333231378674</v>
      </c>
      <c r="E14" s="40">
        <v>2030</v>
      </c>
      <c r="F14" s="515">
        <f t="shared" ref="F14:F20" si="1">F13*(1+Inf)^(E14-E13)</f>
        <v>78.126841761892479</v>
      </c>
      <c r="G14" s="515">
        <f t="shared" ref="G14:G20" si="2">VLOOKUP(E14,$E$27:$F$69,2,FALSE)</f>
        <v>64.930000000000007</v>
      </c>
      <c r="H14" s="515">
        <f>F14-G14</f>
        <v>13.196841761892472</v>
      </c>
      <c r="I14" s="515">
        <f t="shared" si="0"/>
        <v>54.377852786469688</v>
      </c>
    </row>
    <row r="15" spans="2:9" x14ac:dyDescent="0.25">
      <c r="B15" s="516" t="s">
        <v>468</v>
      </c>
      <c r="C15" s="517">
        <f>C14-C13</f>
        <v>175.93333231378674</v>
      </c>
      <c r="E15" s="40">
        <v>2036</v>
      </c>
      <c r="F15" s="515">
        <f t="shared" si="1"/>
        <v>93.287534826345492</v>
      </c>
      <c r="G15" s="515">
        <f t="shared" si="2"/>
        <v>73.150000000000006</v>
      </c>
      <c r="H15" s="515">
        <f t="shared" ref="H15:H20" si="3">F15-G15</f>
        <v>20.137534826345487</v>
      </c>
      <c r="I15" s="515">
        <f t="shared" si="0"/>
        <v>51.305938236115992</v>
      </c>
    </row>
    <row r="16" spans="2:9" x14ac:dyDescent="0.25">
      <c r="B16" s="520" t="s">
        <v>464</v>
      </c>
      <c r="C16" s="519">
        <f>(C13-C12)</f>
        <v>-14.930000000000007</v>
      </c>
      <c r="E16" s="40">
        <v>2042</v>
      </c>
      <c r="F16" s="515">
        <f t="shared" si="1"/>
        <v>111.3901951969269</v>
      </c>
      <c r="G16" s="515">
        <f t="shared" si="2"/>
        <v>68.36</v>
      </c>
      <c r="H16" s="515">
        <f t="shared" si="3"/>
        <v>43.030195196926897</v>
      </c>
      <c r="I16" s="515">
        <f t="shared" si="0"/>
        <v>40.154295376649088</v>
      </c>
    </row>
    <row r="17" spans="2:9" x14ac:dyDescent="0.25">
      <c r="B17" s="516" t="s">
        <v>469</v>
      </c>
      <c r="C17" s="517">
        <f>C14-C12</f>
        <v>161.00333231378673</v>
      </c>
      <c r="E17" s="40">
        <v>2048</v>
      </c>
      <c r="F17" s="515">
        <f t="shared" si="1"/>
        <v>133.00571838570414</v>
      </c>
      <c r="G17" s="515">
        <f t="shared" si="2"/>
        <v>78.86</v>
      </c>
      <c r="H17" s="515">
        <f t="shared" si="3"/>
        <v>54.145718385704143</v>
      </c>
      <c r="I17" s="515">
        <f t="shared" si="0"/>
        <v>38.793894447733713</v>
      </c>
    </row>
    <row r="18" spans="2:9" x14ac:dyDescent="0.25">
      <c r="B18" s="520" t="s">
        <v>465</v>
      </c>
      <c r="C18" s="519">
        <f>C16/42</f>
        <v>-0.35547619047619061</v>
      </c>
      <c r="E18" s="40">
        <v>2054</v>
      </c>
      <c r="F18" s="515">
        <f t="shared" si="1"/>
        <v>158.81578348993946</v>
      </c>
      <c r="G18" s="515">
        <f t="shared" si="2"/>
        <v>78.790000000000006</v>
      </c>
      <c r="H18" s="515">
        <f t="shared" si="3"/>
        <v>80.025783489939457</v>
      </c>
      <c r="I18" s="515">
        <f t="shared" si="0"/>
        <v>32.460436782258306</v>
      </c>
    </row>
    <row r="19" spans="2:9" x14ac:dyDescent="0.25">
      <c r="B19" s="516" t="s">
        <v>470</v>
      </c>
      <c r="C19" s="517">
        <f>C17/42</f>
        <v>3.8334126741377794</v>
      </c>
      <c r="E19" s="40">
        <v>2060</v>
      </c>
      <c r="F19" s="515">
        <f t="shared" si="1"/>
        <v>189.63435100121464</v>
      </c>
      <c r="G19" s="515">
        <f t="shared" si="2"/>
        <v>91.7</v>
      </c>
      <c r="H19" s="515">
        <f t="shared" si="3"/>
        <v>97.934351001214637</v>
      </c>
      <c r="I19" s="515">
        <f t="shared" si="0"/>
        <v>31.639473377698177</v>
      </c>
    </row>
    <row r="20" spans="2:9" x14ac:dyDescent="0.25">
      <c r="B20" s="518" t="s">
        <v>466</v>
      </c>
      <c r="C20" s="521">
        <f>(C13/C12)^(1/42)-1</f>
        <v>-6.1478700467393343E-3</v>
      </c>
      <c r="E20" s="40">
        <v>2066</v>
      </c>
      <c r="F20" s="515">
        <f t="shared" si="1"/>
        <v>226.43333231378679</v>
      </c>
      <c r="G20" s="515">
        <f t="shared" si="2"/>
        <v>50.5</v>
      </c>
      <c r="H20" s="515">
        <f t="shared" si="3"/>
        <v>175.93333231378679</v>
      </c>
      <c r="I20" s="515">
        <f t="shared" si="0"/>
        <v>14.592440813533079</v>
      </c>
    </row>
    <row r="21" spans="2:9" x14ac:dyDescent="0.25">
      <c r="B21" s="516" t="s">
        <v>471</v>
      </c>
      <c r="C21" s="522">
        <f>Inf</f>
        <v>0.03</v>
      </c>
    </row>
    <row r="22" spans="2:9" x14ac:dyDescent="0.25">
      <c r="E22" s="237" t="s">
        <v>519</v>
      </c>
      <c r="F22" s="645">
        <f>AVERAGE(Forecast_Landfill!E43:AU43)</f>
        <v>77.274732577209278</v>
      </c>
    </row>
    <row r="23" spans="2:9" ht="13" x14ac:dyDescent="0.3">
      <c r="B23" s="717" t="s">
        <v>472</v>
      </c>
      <c r="C23" s="717"/>
      <c r="E23" s="237" t="s">
        <v>517</v>
      </c>
      <c r="F23" s="645">
        <f>MAX(Forecast_Landfill!E43:AU43)</f>
        <v>100.2030659</v>
      </c>
    </row>
    <row r="24" spans="2:9" x14ac:dyDescent="0.25">
      <c r="B24" s="518" t="s">
        <v>457</v>
      </c>
      <c r="C24" s="519">
        <f>Forecast_Hauling!E51</f>
        <v>6.1934190806379004</v>
      </c>
      <c r="E24" s="237" t="s">
        <v>518</v>
      </c>
      <c r="F24" s="645">
        <f>MIN(Forecast_Landfill!E43:AU43)</f>
        <v>50.5</v>
      </c>
    </row>
    <row r="25" spans="2:9" x14ac:dyDescent="0.25">
      <c r="B25" s="520" t="s">
        <v>473</v>
      </c>
      <c r="C25" s="519">
        <f>Forecast_Hauling!AT51</f>
        <v>3.6292348031507915</v>
      </c>
    </row>
    <row r="26" spans="2:9" x14ac:dyDescent="0.25">
      <c r="B26" s="518" t="s">
        <v>474</v>
      </c>
      <c r="C26" s="519">
        <f>AVERAGE(Forecast_Hauling!E51:AT51)</f>
        <v>5.9003842524725254</v>
      </c>
      <c r="F26" s="660" t="s">
        <v>530</v>
      </c>
      <c r="G26" s="660" t="s">
        <v>509</v>
      </c>
    </row>
    <row r="27" spans="2:9" x14ac:dyDescent="0.25">
      <c r="E27" s="40">
        <v>2024</v>
      </c>
      <c r="F27" s="605">
        <f t="array" ref="F27:F69">TRANSPOSE(Forecast_Landfill!E43:AU43)</f>
        <v>65.430000000000007</v>
      </c>
      <c r="G27" s="515">
        <f t="shared" ref="G27:G69" si="4">F27/(1+Inf)^(E27-2024)</f>
        <v>65.430000000000007</v>
      </c>
    </row>
    <row r="28" spans="2:9" x14ac:dyDescent="0.25">
      <c r="E28" s="40">
        <v>2025</v>
      </c>
      <c r="F28" s="589">
        <v>65.430000000000007</v>
      </c>
      <c r="G28" s="515">
        <f t="shared" si="4"/>
        <v>63.524271844660198</v>
      </c>
    </row>
    <row r="29" spans="2:9" x14ac:dyDescent="0.25">
      <c r="E29" s="40">
        <v>2026</v>
      </c>
      <c r="F29" s="589">
        <v>65.430000000000007</v>
      </c>
      <c r="G29" s="515">
        <f t="shared" si="4"/>
        <v>61.674050334621555</v>
      </c>
    </row>
    <row r="30" spans="2:9" x14ac:dyDescent="0.25">
      <c r="E30" s="40">
        <v>2027</v>
      </c>
      <c r="F30" s="600">
        <v>71.497127610000007</v>
      </c>
      <c r="G30" s="515">
        <f t="shared" si="4"/>
        <v>65.430000000000007</v>
      </c>
    </row>
    <row r="31" spans="2:9" x14ac:dyDescent="0.25">
      <c r="E31" s="40">
        <v>2028</v>
      </c>
      <c r="F31" s="589">
        <v>71.497127610000007</v>
      </c>
      <c r="G31" s="515">
        <f t="shared" si="4"/>
        <v>63.524271844660205</v>
      </c>
    </row>
    <row r="32" spans="2:9" x14ac:dyDescent="0.25">
      <c r="E32" s="40">
        <v>2029</v>
      </c>
      <c r="F32" s="589">
        <v>71.497127610000007</v>
      </c>
      <c r="G32" s="515">
        <f t="shared" si="4"/>
        <v>61.674050334621562</v>
      </c>
    </row>
    <row r="33" spans="5:7" x14ac:dyDescent="0.25">
      <c r="E33" s="40">
        <v>2030</v>
      </c>
      <c r="F33" s="605">
        <v>64.930000000000007</v>
      </c>
      <c r="G33" s="515">
        <f t="shared" si="4"/>
        <v>54.377852786469688</v>
      </c>
    </row>
    <row r="34" spans="5:7" x14ac:dyDescent="0.25">
      <c r="E34" s="40">
        <v>2031</v>
      </c>
      <c r="F34" s="589">
        <v>64.930000000000007</v>
      </c>
      <c r="G34" s="515">
        <f t="shared" si="4"/>
        <v>52.794031831523967</v>
      </c>
    </row>
    <row r="35" spans="5:7" x14ac:dyDescent="0.25">
      <c r="E35" s="40">
        <v>2032</v>
      </c>
      <c r="F35" s="589">
        <v>64.930000000000007</v>
      </c>
      <c r="G35" s="515">
        <f t="shared" si="4"/>
        <v>51.256341584003856</v>
      </c>
    </row>
    <row r="36" spans="5:7" x14ac:dyDescent="0.25">
      <c r="E36" s="40">
        <v>2033</v>
      </c>
      <c r="F36" s="600">
        <v>70.950764110000009</v>
      </c>
      <c r="G36" s="515">
        <f t="shared" si="4"/>
        <v>54.377852786469688</v>
      </c>
    </row>
    <row r="37" spans="5:7" x14ac:dyDescent="0.25">
      <c r="E37" s="40">
        <v>2034</v>
      </c>
      <c r="F37" s="589">
        <v>70.950764110000009</v>
      </c>
      <c r="G37" s="515">
        <f t="shared" si="4"/>
        <v>52.794031831523974</v>
      </c>
    </row>
    <row r="38" spans="5:7" x14ac:dyDescent="0.25">
      <c r="E38" s="40">
        <v>2035</v>
      </c>
      <c r="F38" s="589">
        <v>70.950764110000009</v>
      </c>
      <c r="G38" s="515">
        <f t="shared" si="4"/>
        <v>51.256341584003856</v>
      </c>
    </row>
    <row r="39" spans="5:7" x14ac:dyDescent="0.25">
      <c r="E39" s="40">
        <v>2036</v>
      </c>
      <c r="F39" s="605">
        <v>73.150000000000006</v>
      </c>
      <c r="G39" s="515">
        <f t="shared" si="4"/>
        <v>51.305938236115992</v>
      </c>
    </row>
    <row r="40" spans="5:7" x14ac:dyDescent="0.25">
      <c r="E40" s="40">
        <v>2037</v>
      </c>
      <c r="F40" s="589">
        <v>73.150000000000006</v>
      </c>
      <c r="G40" s="515">
        <f t="shared" si="4"/>
        <v>49.811590520500971</v>
      </c>
    </row>
    <row r="41" spans="5:7" x14ac:dyDescent="0.25">
      <c r="E41" s="40">
        <v>2038</v>
      </c>
      <c r="F41" s="589">
        <v>73.150000000000006</v>
      </c>
      <c r="G41" s="515">
        <f t="shared" si="4"/>
        <v>48.360767495632004</v>
      </c>
    </row>
    <row r="42" spans="5:7" x14ac:dyDescent="0.25">
      <c r="E42" s="40">
        <v>2039</v>
      </c>
      <c r="F42" s="600">
        <v>79.932980050000012</v>
      </c>
      <c r="G42" s="515">
        <f t="shared" si="4"/>
        <v>51.305938236115992</v>
      </c>
    </row>
    <row r="43" spans="5:7" x14ac:dyDescent="0.25">
      <c r="E43" s="40">
        <v>2040</v>
      </c>
      <c r="F43" s="589">
        <v>79.932980050000012</v>
      </c>
      <c r="G43" s="515">
        <f t="shared" si="4"/>
        <v>49.811590520500971</v>
      </c>
    </row>
    <row r="44" spans="5:7" x14ac:dyDescent="0.25">
      <c r="E44" s="40">
        <v>2041</v>
      </c>
      <c r="F44" s="589">
        <v>79.932980050000012</v>
      </c>
      <c r="G44" s="515">
        <f t="shared" si="4"/>
        <v>48.360767495632011</v>
      </c>
    </row>
    <row r="45" spans="5:7" x14ac:dyDescent="0.25">
      <c r="E45" s="40">
        <v>2042</v>
      </c>
      <c r="F45" s="605">
        <v>68.36</v>
      </c>
      <c r="G45" s="515">
        <f t="shared" si="4"/>
        <v>40.154295376649088</v>
      </c>
    </row>
    <row r="46" spans="5:7" x14ac:dyDescent="0.25">
      <c r="E46" s="40">
        <v>2043</v>
      </c>
      <c r="F46" s="589">
        <v>68.36</v>
      </c>
      <c r="G46" s="515">
        <f t="shared" si="4"/>
        <v>38.984752792863191</v>
      </c>
    </row>
    <row r="47" spans="5:7" x14ac:dyDescent="0.25">
      <c r="E47" s="40">
        <v>2044</v>
      </c>
      <c r="F47" s="589">
        <v>68.36</v>
      </c>
      <c r="G47" s="515">
        <f t="shared" si="4"/>
        <v>37.849274556177861</v>
      </c>
    </row>
    <row r="48" spans="5:7" x14ac:dyDescent="0.25">
      <c r="E48" s="40">
        <v>2045</v>
      </c>
      <c r="F48" s="600">
        <v>74.698817719999994</v>
      </c>
      <c r="G48" s="515">
        <f t="shared" si="4"/>
        <v>40.154295376649088</v>
      </c>
    </row>
    <row r="49" spans="5:7" x14ac:dyDescent="0.25">
      <c r="E49" s="40">
        <v>2046</v>
      </c>
      <c r="F49" s="589">
        <v>74.698817719999994</v>
      </c>
      <c r="G49" s="515">
        <f t="shared" si="4"/>
        <v>38.984752792863191</v>
      </c>
    </row>
    <row r="50" spans="5:7" x14ac:dyDescent="0.25">
      <c r="E50" s="40">
        <v>2047</v>
      </c>
      <c r="F50" s="589">
        <v>74.698817719999994</v>
      </c>
      <c r="G50" s="515">
        <f t="shared" si="4"/>
        <v>37.849274556177853</v>
      </c>
    </row>
    <row r="51" spans="5:7" x14ac:dyDescent="0.25">
      <c r="E51" s="40">
        <v>2048</v>
      </c>
      <c r="F51" s="605">
        <v>78.86</v>
      </c>
      <c r="G51" s="515">
        <f t="shared" si="4"/>
        <v>38.793894447733713</v>
      </c>
    </row>
    <row r="52" spans="5:7" x14ac:dyDescent="0.25">
      <c r="E52" s="40">
        <v>2049</v>
      </c>
      <c r="F52" s="589">
        <v>78.86</v>
      </c>
      <c r="G52" s="515">
        <f t="shared" si="4"/>
        <v>37.66397519197448</v>
      </c>
    </row>
    <row r="53" spans="5:7" x14ac:dyDescent="0.25">
      <c r="E53" s="40">
        <v>2050</v>
      </c>
      <c r="F53" s="589">
        <v>78.86</v>
      </c>
      <c r="G53" s="515">
        <f t="shared" si="4"/>
        <v>36.566966205800462</v>
      </c>
    </row>
    <row r="54" spans="5:7" x14ac:dyDescent="0.25">
      <c r="E54" s="40">
        <v>2051</v>
      </c>
      <c r="F54" s="600">
        <v>86.172451219999999</v>
      </c>
      <c r="G54" s="515">
        <f t="shared" si="4"/>
        <v>38.793894447733713</v>
      </c>
    </row>
    <row r="55" spans="5:7" x14ac:dyDescent="0.25">
      <c r="E55" s="40">
        <v>2052</v>
      </c>
      <c r="F55" s="589">
        <v>86.172451219999999</v>
      </c>
      <c r="G55" s="515">
        <f t="shared" si="4"/>
        <v>37.66397519197448</v>
      </c>
    </row>
    <row r="56" spans="5:7" x14ac:dyDescent="0.25">
      <c r="E56" s="40">
        <v>2053</v>
      </c>
      <c r="F56" s="589">
        <v>86.172451219999999</v>
      </c>
      <c r="G56" s="515">
        <f t="shared" si="4"/>
        <v>36.566966205800469</v>
      </c>
    </row>
    <row r="57" spans="5:7" x14ac:dyDescent="0.25">
      <c r="E57" s="40">
        <v>2054</v>
      </c>
      <c r="F57" s="605">
        <v>78.790000000000006</v>
      </c>
      <c r="G57" s="515">
        <f t="shared" si="4"/>
        <v>32.460436782258306</v>
      </c>
    </row>
    <row r="58" spans="5:7" x14ac:dyDescent="0.25">
      <c r="E58" s="40">
        <v>2055</v>
      </c>
      <c r="F58" s="589">
        <v>78.790000000000006</v>
      </c>
      <c r="G58" s="515">
        <f t="shared" si="4"/>
        <v>31.51498716724107</v>
      </c>
    </row>
    <row r="59" spans="5:7" x14ac:dyDescent="0.25">
      <c r="E59" s="40">
        <v>2056</v>
      </c>
      <c r="F59" s="589">
        <v>78.790000000000006</v>
      </c>
      <c r="G59" s="515">
        <f t="shared" si="4"/>
        <v>30.597074919651529</v>
      </c>
    </row>
    <row r="60" spans="5:7" x14ac:dyDescent="0.25">
      <c r="E60" s="40">
        <v>2057</v>
      </c>
      <c r="F60" s="600">
        <v>86.095960330000011</v>
      </c>
      <c r="G60" s="515">
        <f t="shared" si="4"/>
        <v>32.460436782258306</v>
      </c>
    </row>
    <row r="61" spans="5:7" x14ac:dyDescent="0.25">
      <c r="E61" s="40">
        <v>2058</v>
      </c>
      <c r="F61" s="589">
        <v>86.095960330000011</v>
      </c>
      <c r="G61" s="515">
        <f t="shared" si="4"/>
        <v>31.514987167241081</v>
      </c>
    </row>
    <row r="62" spans="5:7" x14ac:dyDescent="0.25">
      <c r="E62" s="40">
        <v>2059</v>
      </c>
      <c r="F62" s="589">
        <v>86.095960330000011</v>
      </c>
      <c r="G62" s="515">
        <f t="shared" si="4"/>
        <v>30.597074919651529</v>
      </c>
    </row>
    <row r="63" spans="5:7" x14ac:dyDescent="0.25">
      <c r="E63" s="40">
        <v>2060</v>
      </c>
      <c r="F63" s="605">
        <v>91.7</v>
      </c>
      <c r="G63" s="515">
        <f t="shared" si="4"/>
        <v>31.639473377698177</v>
      </c>
    </row>
    <row r="64" spans="5:7" x14ac:dyDescent="0.25">
      <c r="E64" s="40">
        <v>2061</v>
      </c>
      <c r="F64" s="589">
        <v>91.7</v>
      </c>
      <c r="G64" s="515">
        <f t="shared" si="4"/>
        <v>30.717935318153575</v>
      </c>
    </row>
    <row r="65" spans="5:7" x14ac:dyDescent="0.25">
      <c r="E65" s="40">
        <v>2062</v>
      </c>
      <c r="F65" s="589">
        <v>91.7</v>
      </c>
      <c r="G65" s="515">
        <f t="shared" si="4"/>
        <v>29.823238172964636</v>
      </c>
    </row>
    <row r="66" spans="5:7" x14ac:dyDescent="0.25">
      <c r="E66" s="40">
        <v>2063</v>
      </c>
      <c r="F66" s="600">
        <v>100.2030659</v>
      </c>
      <c r="G66" s="515">
        <f t="shared" si="4"/>
        <v>31.639473377698177</v>
      </c>
    </row>
    <row r="67" spans="5:7" x14ac:dyDescent="0.25">
      <c r="E67" s="40">
        <v>2064</v>
      </c>
      <c r="F67" s="589">
        <v>100.2030659</v>
      </c>
      <c r="G67" s="515">
        <f t="shared" si="4"/>
        <v>30.717935318153575</v>
      </c>
    </row>
    <row r="68" spans="5:7" x14ac:dyDescent="0.25">
      <c r="E68" s="40">
        <v>2065</v>
      </c>
      <c r="F68" s="589">
        <v>100.2030659</v>
      </c>
      <c r="G68" s="515">
        <f t="shared" si="4"/>
        <v>29.823238172964633</v>
      </c>
    </row>
    <row r="69" spans="5:7" x14ac:dyDescent="0.25">
      <c r="E69" s="40">
        <v>2066</v>
      </c>
      <c r="F69" s="605">
        <v>50.5</v>
      </c>
      <c r="G69" s="515">
        <f t="shared" si="4"/>
        <v>14.592440813533079</v>
      </c>
    </row>
  </sheetData>
  <sheetProtection algorithmName="SHA-512" hashValue="g09K7KotpvqSWOUL2M3ZX4RbjN9EwpJAssUGgborFaDKjEL1GES0nuCW7SXesvexvlRAGsHA38Mar/Mi/PrJrg==" saltValue="BMh7pvVLRBXhUYsTJszwxA==" spinCount="100000" sheet="1" objects="1" scenarios="1"/>
  <mergeCells count="3">
    <mergeCell ref="B11:C11"/>
    <mergeCell ref="E11:H11"/>
    <mergeCell ref="B23:C23"/>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89857-DA41-486F-AADB-091C8911F42E}">
  <sheetPr codeName="Sheet3">
    <tabColor theme="6" tint="0.39997558519241921"/>
  </sheetPr>
  <dimension ref="A1:W50"/>
  <sheetViews>
    <sheetView zoomScale="55" zoomScaleNormal="55" workbookViewId="0">
      <selection activeCell="E30" sqref="E30"/>
    </sheetView>
  </sheetViews>
  <sheetFormatPr defaultColWidth="9.1796875" defaultRowHeight="14" x14ac:dyDescent="0.3"/>
  <cols>
    <col min="1" max="1" width="13.1796875" style="221" customWidth="1"/>
    <col min="2" max="2" width="15.26953125" style="221" customWidth="1"/>
    <col min="3" max="3" width="11.81640625" style="221" customWidth="1"/>
    <col min="4" max="4" width="13.54296875" style="221" bestFit="1" customWidth="1"/>
    <col min="5" max="5" width="9.1796875" style="221"/>
    <col min="6" max="6" width="21.7265625" style="221" customWidth="1"/>
    <col min="7" max="7" width="6.81640625" style="221" customWidth="1"/>
    <col min="8" max="8" width="33.26953125" style="221" customWidth="1"/>
    <col min="9" max="9" width="6.54296875" style="221" customWidth="1"/>
    <col min="10" max="10" width="11.26953125" style="221" customWidth="1"/>
    <col min="11" max="11" width="15.54296875" style="221" customWidth="1"/>
    <col min="12" max="12" width="16" style="221" customWidth="1"/>
    <col min="13" max="13" width="11.81640625" style="221" customWidth="1"/>
    <col min="14" max="14" width="12" style="221" bestFit="1" customWidth="1"/>
    <col min="15" max="15" width="12.7265625" style="221" bestFit="1" customWidth="1"/>
    <col min="16" max="16" width="9.7265625" style="221" bestFit="1" customWidth="1"/>
    <col min="17" max="17" width="9.1796875" style="2"/>
    <col min="18" max="16384" width="9.1796875" style="221"/>
  </cols>
  <sheetData>
    <row r="1" spans="1:23" ht="15.5" x14ac:dyDescent="0.35">
      <c r="A1" s="218" t="s">
        <v>394</v>
      </c>
      <c r="B1" s="219"/>
      <c r="C1" s="219"/>
      <c r="D1" s="219"/>
      <c r="E1" s="219"/>
      <c r="F1" s="219"/>
      <c r="G1" s="219"/>
      <c r="H1" s="220"/>
      <c r="J1" s="222"/>
    </row>
    <row r="2" spans="1:23" ht="15.5" x14ac:dyDescent="0.35">
      <c r="A2" s="218" t="s">
        <v>21</v>
      </c>
      <c r="H2" s="223"/>
      <c r="J2" s="8"/>
    </row>
    <row r="3" spans="1:23" x14ac:dyDescent="0.3">
      <c r="A3" s="225"/>
      <c r="B3" s="226"/>
      <c r="H3" s="223"/>
      <c r="J3" s="3"/>
    </row>
    <row r="4" spans="1:23" x14ac:dyDescent="0.3">
      <c r="A4" s="225"/>
      <c r="B4" s="227"/>
      <c r="H4" s="223"/>
      <c r="J4" s="3"/>
    </row>
    <row r="5" spans="1:23" x14ac:dyDescent="0.3">
      <c r="A5" s="225"/>
      <c r="B5" s="227"/>
      <c r="H5" s="223"/>
    </row>
    <row r="6" spans="1:23" ht="14.5" thickBot="1" x14ac:dyDescent="0.35">
      <c r="A6" s="228"/>
      <c r="H6" s="223"/>
    </row>
    <row r="7" spans="1:23" ht="39" x14ac:dyDescent="0.3">
      <c r="A7" s="229" t="s">
        <v>15</v>
      </c>
      <c r="B7" s="230" t="s">
        <v>2</v>
      </c>
      <c r="C7" s="231" t="s">
        <v>20</v>
      </c>
      <c r="D7" s="231" t="s">
        <v>69</v>
      </c>
      <c r="E7" s="232" t="s">
        <v>16</v>
      </c>
      <c r="F7" s="723" t="s">
        <v>17</v>
      </c>
      <c r="G7" s="724"/>
      <c r="H7" s="725"/>
    </row>
    <row r="8" spans="1:23" x14ac:dyDescent="0.3">
      <c r="A8" s="233">
        <v>2024</v>
      </c>
      <c r="B8" s="234" t="s">
        <v>68</v>
      </c>
      <c r="C8" s="235">
        <f>E8*HLOOKUP(A8,Forecast_Landfill!$D$38:$AU$40,3,FALSE)</f>
        <v>43849.942052977443</v>
      </c>
      <c r="D8" s="236">
        <f>C8</f>
        <v>43849.942052977443</v>
      </c>
      <c r="E8" s="396">
        <v>6.05</v>
      </c>
      <c r="F8" s="237"/>
      <c r="G8" s="238"/>
      <c r="H8" s="2"/>
    </row>
    <row r="9" spans="1:23" x14ac:dyDescent="0.3">
      <c r="A9" s="233">
        <v>2025</v>
      </c>
      <c r="B9" s="239">
        <f>VLOOKUP(A9,'Short-Lived Assets Schedule '!$I$4:$Q$50,5,FALSE)</f>
        <v>0</v>
      </c>
      <c r="C9" s="235">
        <f>E9*HLOOKUP(A9,Forecast_Landfill!$D$38:$AU$40,3,FALSE)</f>
        <v>286755.24849165051</v>
      </c>
      <c r="D9" s="236">
        <f t="shared" ref="D9:D50" si="0">D8+C9-B9+(D8+C9/2)*Interest_LGIP</f>
        <v>330979.64567722555</v>
      </c>
      <c r="E9" s="240">
        <f>Start_ERR_Landfill</f>
        <v>6.05</v>
      </c>
      <c r="F9" s="241"/>
      <c r="G9" s="241"/>
      <c r="H9" s="241"/>
      <c r="J9" s="222"/>
      <c r="K9" s="241"/>
      <c r="L9" s="241"/>
      <c r="M9" s="241"/>
    </row>
    <row r="10" spans="1:23" ht="14.25" customHeight="1" x14ac:dyDescent="0.3">
      <c r="A10" s="233">
        <v>2026</v>
      </c>
      <c r="B10" s="239">
        <f>VLOOKUP(A10,'Short-Lived Assets Schedule '!$I$4:$Q$50,5,FALSE)</f>
        <v>0</v>
      </c>
      <c r="C10" s="235">
        <f>E10*HLOOKUP(A10,Forecast_Landfill!$D$38:$AU$40,3,FALSE)</f>
        <v>349094.56294810149</v>
      </c>
      <c r="D10" s="236">
        <f t="shared" si="0"/>
        <v>681085.2624796296</v>
      </c>
      <c r="E10" s="240">
        <f>E9</f>
        <v>6.05</v>
      </c>
      <c r="F10" s="242"/>
      <c r="G10" s="243" t="s">
        <v>109</v>
      </c>
      <c r="H10" s="241"/>
      <c r="J10" s="8"/>
      <c r="N10" s="244"/>
      <c r="O10" s="244"/>
      <c r="P10" s="244"/>
      <c r="R10" s="244"/>
      <c r="S10" s="244"/>
      <c r="T10" s="244"/>
      <c r="U10" s="244"/>
      <c r="V10" s="244"/>
      <c r="W10" s="244"/>
    </row>
    <row r="11" spans="1:23" x14ac:dyDescent="0.3">
      <c r="A11" s="233">
        <v>2027</v>
      </c>
      <c r="B11" s="239">
        <f>VLOOKUP(A11,'Short-Lived Assets Schedule '!$I$4:$Q$50,5,FALSE)</f>
        <v>0</v>
      </c>
      <c r="C11" s="235">
        <f>E11*HLOOKUP(A11,Forecast_Landfill!$D$38:$AU$40,3,FALSE)</f>
        <v>390835.90972122538</v>
      </c>
      <c r="D11" s="236">
        <f t="shared" si="0"/>
        <v>1073674.1786355353</v>
      </c>
      <c r="E11" s="240">
        <f>E10*(1+Inf)^(A11-A8)</f>
        <v>6.61099835</v>
      </c>
      <c r="G11" s="245" t="s">
        <v>483</v>
      </c>
      <c r="H11" s="241"/>
      <c r="J11" s="3"/>
      <c r="N11" s="244"/>
      <c r="O11" s="244"/>
      <c r="P11" s="244"/>
      <c r="R11" s="244"/>
      <c r="S11" s="244"/>
      <c r="T11" s="244"/>
      <c r="U11" s="244"/>
      <c r="V11" s="244"/>
      <c r="W11" s="244"/>
    </row>
    <row r="12" spans="1:23" x14ac:dyDescent="0.3">
      <c r="A12" s="233">
        <v>2028</v>
      </c>
      <c r="B12" s="239">
        <f>VLOOKUP(A12,'Short-Lived Assets Schedule '!$I$4:$Q$50,5,FALSE)</f>
        <v>0</v>
      </c>
      <c r="C12" s="235">
        <f>E12*HLOOKUP(A12,Forecast_Landfill!$D$38:$AU$40,3,FALSE)</f>
        <v>400467.46707893937</v>
      </c>
      <c r="D12" s="236">
        <f t="shared" si="0"/>
        <v>1476689.4615388247</v>
      </c>
      <c r="E12" s="240">
        <f>E11</f>
        <v>6.61099835</v>
      </c>
      <c r="F12" s="18"/>
      <c r="G12" s="245" t="s">
        <v>111</v>
      </c>
      <c r="H12" s="241"/>
      <c r="J12" s="3"/>
      <c r="M12" s="224"/>
      <c r="N12" s="244"/>
      <c r="O12" s="244"/>
      <c r="P12" s="244"/>
      <c r="R12" s="244"/>
      <c r="S12" s="244"/>
      <c r="T12" s="244"/>
      <c r="U12" s="244"/>
      <c r="V12" s="244"/>
      <c r="W12" s="244"/>
    </row>
    <row r="13" spans="1:23" x14ac:dyDescent="0.3">
      <c r="A13" s="233">
        <v>2029</v>
      </c>
      <c r="B13" s="239">
        <f>VLOOKUP(A13,'Short-Lived Assets Schedule '!$I$4:$Q$50,5,FALSE)</f>
        <v>6447.8824012565992</v>
      </c>
      <c r="C13" s="235">
        <f>E13*HLOOKUP(A13,Forecast_Landfill!$D$38:$AU$40,3,FALSE)</f>
        <v>410367.32356779819</v>
      </c>
      <c r="D13" s="236">
        <f t="shared" si="0"/>
        <v>1883972.6489520117</v>
      </c>
      <c r="E13" s="240">
        <f>E12</f>
        <v>6.61099835</v>
      </c>
      <c r="G13" s="245" t="s">
        <v>110</v>
      </c>
      <c r="H13" s="246"/>
      <c r="I13" s="246"/>
      <c r="J13" s="246"/>
      <c r="K13" s="246"/>
      <c r="L13" s="246"/>
      <c r="M13" s="246"/>
      <c r="N13" s="246"/>
      <c r="O13" s="246"/>
      <c r="P13" s="246"/>
      <c r="R13" s="247"/>
      <c r="S13" s="247"/>
      <c r="T13" s="247"/>
      <c r="U13" s="247"/>
      <c r="V13" s="247"/>
      <c r="W13" s="247"/>
    </row>
    <row r="14" spans="1:23" x14ac:dyDescent="0.3">
      <c r="A14" s="233">
        <v>2030</v>
      </c>
      <c r="B14" s="239">
        <f>VLOOKUP(A14,'Short-Lived Assets Schedule '!$I$4:$Q$50,5,FALSE)</f>
        <v>0</v>
      </c>
      <c r="C14" s="235">
        <f>E14*HLOOKUP(A14,Forecast_Landfill!$D$38:$AU$40,3,FALSE)</f>
        <v>459539.02375408099</v>
      </c>
      <c r="D14" s="236">
        <f t="shared" si="0"/>
        <v>2347739.1570277507</v>
      </c>
      <c r="E14" s="240">
        <f>E13*(1+Inf)^(A14-A11)</f>
        <v>7.2240163940004498</v>
      </c>
      <c r="G14" s="245" t="s">
        <v>183</v>
      </c>
      <c r="H14" s="246"/>
      <c r="I14" s="246"/>
      <c r="J14" s="246"/>
      <c r="K14" s="246"/>
      <c r="L14" s="246"/>
      <c r="M14" s="246"/>
      <c r="N14" s="246"/>
      <c r="O14" s="246"/>
      <c r="P14" s="246"/>
    </row>
    <row r="15" spans="1:23" x14ac:dyDescent="0.3">
      <c r="A15" s="233">
        <v>2031</v>
      </c>
      <c r="B15" s="239">
        <f>VLOOKUP(A15,'Short-Lived Assets Schedule '!$I$4:$Q$50,5,FALSE)</f>
        <v>0</v>
      </c>
      <c r="C15" s="235">
        <f>E15*HLOOKUP(A15,Forecast_Landfill!$D$38:$AU$40,3,FALSE)</f>
        <v>470969.13066866534</v>
      </c>
      <c r="D15" s="236">
        <f t="shared" si="0"/>
        <v>2823874.7351411404</v>
      </c>
      <c r="E15" s="240">
        <f>E14</f>
        <v>7.2240163940004498</v>
      </c>
      <c r="G15" s="245" t="s">
        <v>177</v>
      </c>
      <c r="H15" s="246"/>
      <c r="I15" s="246"/>
      <c r="J15" s="246"/>
      <c r="K15" s="246"/>
      <c r="L15" s="246"/>
      <c r="M15" s="246"/>
      <c r="N15" s="246"/>
      <c r="O15" s="246"/>
      <c r="P15" s="246"/>
      <c r="R15" s="248"/>
      <c r="S15" s="248"/>
      <c r="T15" s="248"/>
      <c r="U15" s="248"/>
      <c r="V15" s="248"/>
      <c r="W15" s="248"/>
    </row>
    <row r="16" spans="1:23" x14ac:dyDescent="0.3">
      <c r="A16" s="233">
        <v>2032</v>
      </c>
      <c r="B16" s="239">
        <f>VLOOKUP(A16,'Short-Lived Assets Schedule '!$I$4:$Q$50,5,FALSE)</f>
        <v>0</v>
      </c>
      <c r="C16" s="235">
        <f>E16*HLOOKUP(A16,Forecast_Landfill!$D$38:$AU$40,3,FALSE)</f>
        <v>482718.84920786245</v>
      </c>
      <c r="D16" s="236">
        <f t="shared" si="0"/>
        <v>3312724.0526684928</v>
      </c>
      <c r="E16" s="240">
        <f>E15</f>
        <v>7.2240163940004498</v>
      </c>
      <c r="F16" s="18"/>
      <c r="G16" s="249"/>
    </row>
    <row r="17" spans="1:12" x14ac:dyDescent="0.3">
      <c r="A17" s="233">
        <v>2033</v>
      </c>
      <c r="B17" s="239">
        <f>VLOOKUP(A17,'Short-Lived Assets Schedule '!$I$4:$Q$50,5,FALSE)</f>
        <v>0</v>
      </c>
      <c r="C17" s="235">
        <f>E17*HLOOKUP(A17,Forecast_Landfill!$D$38:$AU$40,3,FALSE)</f>
        <v>540678.61741609115</v>
      </c>
      <c r="D17" s="236">
        <f t="shared" si="0"/>
        <v>3860568.7968073371</v>
      </c>
      <c r="E17" s="240">
        <f>E16*(1+Inf)^(A17-A14)</f>
        <v>7.8938777621669294</v>
      </c>
      <c r="F17" s="224"/>
      <c r="G17" s="250" t="s">
        <v>178</v>
      </c>
    </row>
    <row r="18" spans="1:12" x14ac:dyDescent="0.3">
      <c r="A18" s="233">
        <v>2034</v>
      </c>
      <c r="B18" s="239">
        <f>VLOOKUP(A18,'Short-Lived Assets Schedule '!$I$4:$Q$50,5,FALSE)</f>
        <v>4416299.8839415219</v>
      </c>
      <c r="C18" s="235">
        <f>E18*HLOOKUP(A18,Forecast_Landfill!$D$38:$AU$40,3,FALSE)</f>
        <v>554247.30053362204</v>
      </c>
      <c r="D18" s="236">
        <f t="shared" si="0"/>
        <v>6791.5982935855518</v>
      </c>
      <c r="E18" s="240">
        <f>E17</f>
        <v>7.8938777621669294</v>
      </c>
      <c r="F18" s="224"/>
      <c r="G18" s="249"/>
      <c r="H18" s="241"/>
    </row>
    <row r="19" spans="1:12" x14ac:dyDescent="0.3">
      <c r="A19" s="233">
        <v>2035</v>
      </c>
      <c r="B19" s="239">
        <f>VLOOKUP(A19,'Short-Lived Assets Schedule '!$I$4:$Q$50,5,FALSE)</f>
        <v>0</v>
      </c>
      <c r="C19" s="235">
        <f>E19*HLOOKUP(A19,Forecast_Landfill!$D$38:$AU$40,3,FALSE)</f>
        <v>464267.31387593219</v>
      </c>
      <c r="D19" s="236">
        <f t="shared" si="0"/>
        <v>471536.76267998083</v>
      </c>
      <c r="E19" s="396">
        <v>6.45</v>
      </c>
      <c r="F19" s="22"/>
      <c r="G19" s="251" t="s">
        <v>184</v>
      </c>
    </row>
    <row r="20" spans="1:12" x14ac:dyDescent="0.3">
      <c r="A20" s="233">
        <v>2036</v>
      </c>
      <c r="B20" s="239">
        <f>VLOOKUP(A20,'Short-Lived Assets Schedule '!$I$4:$Q$50,5,FALSE)</f>
        <v>0</v>
      </c>
      <c r="C20" s="235">
        <f>E20*HLOOKUP(A20,Forecast_Landfill!$D$38:$AU$40,3,FALSE)</f>
        <v>520122.31466111023</v>
      </c>
      <c r="D20" s="236">
        <f t="shared" si="0"/>
        <v>993122.27318111225</v>
      </c>
      <c r="E20" s="240">
        <f>E19*(1+Inf)^(A20-A17)</f>
        <v>7.04808915</v>
      </c>
      <c r="F20" s="242"/>
      <c r="G20" s="102" t="s">
        <v>259</v>
      </c>
      <c r="H20" s="103"/>
      <c r="I20" s="103"/>
      <c r="J20" s="103"/>
      <c r="K20" s="103"/>
      <c r="L20" s="103"/>
    </row>
    <row r="21" spans="1:12" x14ac:dyDescent="0.3">
      <c r="A21" s="233">
        <v>2037</v>
      </c>
      <c r="B21" s="239">
        <f>VLOOKUP(A21,'Short-Lived Assets Schedule '!$I$4:$Q$50,5,FALSE)</f>
        <v>0</v>
      </c>
      <c r="C21" s="235">
        <f>E21*HLOOKUP(A21,Forecast_Landfill!$D$38:$AU$40,3,FALSE)</f>
        <v>533287.46848022379</v>
      </c>
      <c r="D21" s="236">
        <f t="shared" si="0"/>
        <v>1528929.2736761784</v>
      </c>
      <c r="E21" s="240">
        <f>E20</f>
        <v>7.04808915</v>
      </c>
      <c r="G21" s="249"/>
    </row>
    <row r="22" spans="1:12" ht="18" x14ac:dyDescent="0.4">
      <c r="A22" s="233">
        <v>2038</v>
      </c>
      <c r="B22" s="239">
        <f>VLOOKUP(A22,'Short-Lived Assets Schedule '!$I$4:$Q$50,5,FALSE)</f>
        <v>0</v>
      </c>
      <c r="C22" s="235">
        <f>E22*HLOOKUP(A22,Forecast_Landfill!$D$38:$AU$40,3,FALSE)</f>
        <v>546823.4752915483</v>
      </c>
      <c r="D22" s="236">
        <f t="shared" si="0"/>
        <v>2079357.4309903707</v>
      </c>
      <c r="E22" s="240">
        <f>E21</f>
        <v>7.04808915</v>
      </c>
      <c r="F22" s="18"/>
      <c r="G22" s="254" t="str">
        <f>IF(MIN($D$8:$D$50)&lt;0,"Update the rates. End-Year Fund Balance cannot be negative.","")</f>
        <v/>
      </c>
    </row>
    <row r="23" spans="1:12" x14ac:dyDescent="0.3">
      <c r="A23" s="233">
        <v>2039</v>
      </c>
      <c r="B23" s="239">
        <f>VLOOKUP(A23,'Short-Lived Assets Schedule '!$I$4:$Q$50,5,FALSE)</f>
        <v>297512.5738089151</v>
      </c>
      <c r="C23" s="235">
        <f>E23*HLOOKUP(A23,Forecast_Landfill!$D$38:$AU$40,3,FALSE)</f>
        <v>612737.09369131795</v>
      </c>
      <c r="D23" s="236">
        <f t="shared" si="0"/>
        <v>2399353.4028284457</v>
      </c>
      <c r="E23" s="240">
        <f>E22*(1+Inf)^(A23-A20)</f>
        <v>7.7016373126120499</v>
      </c>
      <c r="F23" s="224"/>
      <c r="G23" s="3"/>
    </row>
    <row r="24" spans="1:12" x14ac:dyDescent="0.3">
      <c r="A24" s="233">
        <v>2040</v>
      </c>
      <c r="B24" s="239">
        <f>VLOOKUP(A24,'Short-Lived Assets Schedule '!$I$4:$Q$50,5,FALSE)</f>
        <v>0</v>
      </c>
      <c r="C24" s="235">
        <f>E24*HLOOKUP(A24,Forecast_Landfill!$D$38:$AU$40,3,FALSE)</f>
        <v>628374.8479078667</v>
      </c>
      <c r="D24" s="236">
        <f t="shared" si="0"/>
        <v>3033155.3323898772</v>
      </c>
      <c r="E24" s="240">
        <f>E23</f>
        <v>7.7016373126120499</v>
      </c>
      <c r="F24" s="224"/>
      <c r="G24" s="3"/>
    </row>
    <row r="25" spans="1:12" x14ac:dyDescent="0.3">
      <c r="A25" s="233">
        <v>2041</v>
      </c>
      <c r="B25" s="239">
        <f>VLOOKUP(A25,'Short-Lived Assets Schedule '!$I$4:$Q$50,5,FALSE)</f>
        <v>0</v>
      </c>
      <c r="C25" s="235">
        <f>E25*HLOOKUP(A25,Forecast_Landfill!$D$38:$AU$40,3,FALSE)</f>
        <v>644454.68943429529</v>
      </c>
      <c r="D25" s="236">
        <f t="shared" si="0"/>
        <v>3684320.7871783869</v>
      </c>
      <c r="E25" s="240">
        <f>E24</f>
        <v>7.7016373126120499</v>
      </c>
    </row>
    <row r="26" spans="1:12" x14ac:dyDescent="0.3">
      <c r="A26" s="233">
        <v>2042</v>
      </c>
      <c r="B26" s="239">
        <f>VLOOKUP(A26,'Short-Lived Assets Schedule '!$I$4:$Q$50,5,FALSE)</f>
        <v>0</v>
      </c>
      <c r="C26" s="235">
        <f>E26*HLOOKUP(A26,Forecast_Landfill!$D$38:$AU$40,3,FALSE)</f>
        <v>722281.24141534383</v>
      </c>
      <c r="D26" s="236">
        <f t="shared" si="0"/>
        <v>4414692.9514095029</v>
      </c>
      <c r="E26" s="240">
        <f>E25*(1+Inf)^(A26-A23)</f>
        <v>8.415787035698628</v>
      </c>
    </row>
    <row r="27" spans="1:12" x14ac:dyDescent="0.3">
      <c r="A27" s="233">
        <v>2043</v>
      </c>
      <c r="B27" s="239">
        <f>VLOOKUP(A27,'Short-Lived Assets Schedule '!$I$4:$Q$50,5,FALSE)</f>
        <v>0</v>
      </c>
      <c r="C27" s="235">
        <f>E27*HLOOKUP(A27,Forecast_Landfill!$D$38:$AU$40,3,FALSE)</f>
        <v>740861.44586109847</v>
      </c>
      <c r="D27" s="236">
        <f t="shared" si="0"/>
        <v>5165124.6446192814</v>
      </c>
      <c r="E27" s="240">
        <f>E26</f>
        <v>8.415787035698628</v>
      </c>
    </row>
    <row r="28" spans="1:12" x14ac:dyDescent="0.3">
      <c r="A28" s="233">
        <v>2044</v>
      </c>
      <c r="B28" s="239">
        <f>VLOOKUP(A28,'Short-Lived Assets Schedule '!$I$4:$Q$50,5,FALSE)</f>
        <v>5935137.7501245532</v>
      </c>
      <c r="C28" s="235">
        <f>E28*HLOOKUP(A28,Forecast_Landfill!$D$38:$AU$40,3,FALSE)</f>
        <v>759968.77693927928</v>
      </c>
      <c r="D28" s="236">
        <f t="shared" si="0"/>
        <v>1045.8895001854271</v>
      </c>
      <c r="E28" s="240">
        <f>E27</f>
        <v>8.415787035698628</v>
      </c>
      <c r="F28" s="22"/>
    </row>
    <row r="29" spans="1:12" x14ac:dyDescent="0.3">
      <c r="A29" s="233">
        <v>2045</v>
      </c>
      <c r="B29" s="239">
        <f>VLOOKUP(A29,'Short-Lived Assets Schedule '!$I$4:$Q$50,5,FALSE)</f>
        <v>0</v>
      </c>
      <c r="C29" s="235">
        <f>E29*HLOOKUP(A29,Forecast_Landfill!$D$38:$AU$40,3,FALSE)</f>
        <v>661432.89366719674</v>
      </c>
      <c r="D29" s="236">
        <f t="shared" si="0"/>
        <v>663142.30784004973</v>
      </c>
      <c r="E29" s="396">
        <v>7.14</v>
      </c>
    </row>
    <row r="30" spans="1:12" x14ac:dyDescent="0.3">
      <c r="A30" s="233">
        <v>2046</v>
      </c>
      <c r="B30" s="239">
        <f>VLOOKUP(A30,'Short-Lived Assets Schedule '!$I$4:$Q$50,5,FALSE)</f>
        <v>0</v>
      </c>
      <c r="C30" s="235">
        <f>E30*HLOOKUP(A30,Forecast_Landfill!$D$38:$AU$40,3,FALSE)</f>
        <v>678578.16271762399</v>
      </c>
      <c r="D30" s="236">
        <f t="shared" si="0"/>
        <v>1343725.3333360716</v>
      </c>
      <c r="E30" s="240">
        <f>E29</f>
        <v>7.14</v>
      </c>
    </row>
    <row r="31" spans="1:12" x14ac:dyDescent="0.3">
      <c r="A31" s="233">
        <v>2047</v>
      </c>
      <c r="B31" s="239">
        <f>VLOOKUP(A31,'Short-Lived Assets Schedule '!$I$4:$Q$50,5,FALSE)</f>
        <v>0</v>
      </c>
      <c r="C31" s="235">
        <f>E31*HLOOKUP(A31,Forecast_Landfill!$D$38:$AU$40,3,FALSE)</f>
        <v>696211.53777178307</v>
      </c>
      <c r="D31" s="236">
        <f t="shared" si="0"/>
        <v>2043320.5333122986</v>
      </c>
      <c r="E31" s="240">
        <f>E30</f>
        <v>7.14</v>
      </c>
    </row>
    <row r="32" spans="1:12" x14ac:dyDescent="0.3">
      <c r="A32" s="233">
        <v>2048</v>
      </c>
      <c r="B32" s="239">
        <f>VLOOKUP(A32,'Short-Lived Assets Schedule '!$I$4:$Q$50,5,FALSE)</f>
        <v>0</v>
      </c>
      <c r="C32" s="235">
        <f>E32*HLOOKUP(A32,Forecast_Landfill!$D$38:$AU$40,3,FALSE)</f>
        <v>780586.78834842949</v>
      </c>
      <c r="D32" s="236">
        <f t="shared" si="0"/>
        <v>2828774.5495157014</v>
      </c>
      <c r="E32" s="240">
        <f>E31*(1+Inf)^(A32-A29)</f>
        <v>7.8020707799999993</v>
      </c>
    </row>
    <row r="33" spans="1:5" x14ac:dyDescent="0.3">
      <c r="A33" s="233">
        <v>2049</v>
      </c>
      <c r="B33" s="239">
        <f>VLOOKUP(A33,'Short-Lived Assets Schedule '!$I$4:$Q$50,5,FALSE)</f>
        <v>11645.592844736739</v>
      </c>
      <c r="C33" s="235">
        <f>E33*HLOOKUP(A33,Forecast_Landfill!$D$38:$AU$40,3,FALSE)</f>
        <v>800969.90487563272</v>
      </c>
      <c r="D33" s="236">
        <f t="shared" si="0"/>
        <v>3624557.3805505047</v>
      </c>
      <c r="E33" s="240">
        <f>E32</f>
        <v>7.8020707799999993</v>
      </c>
    </row>
    <row r="34" spans="1:5" x14ac:dyDescent="0.3">
      <c r="A34" s="233">
        <v>2050</v>
      </c>
      <c r="B34" s="239">
        <f>VLOOKUP(A34,'Short-Lived Assets Schedule '!$I$4:$Q$50,5,FALSE)</f>
        <v>0</v>
      </c>
      <c r="C34" s="235">
        <f>E34*HLOOKUP(A34,Forecast_Landfill!$D$38:$AU$40,3,FALSE)</f>
        <v>821935.28795767052</v>
      </c>
      <c r="D34" s="236">
        <f t="shared" si="0"/>
        <v>4454563.7185572339</v>
      </c>
      <c r="E34" s="240">
        <f>E33</f>
        <v>7.8020707799999993</v>
      </c>
    </row>
    <row r="35" spans="1:5" x14ac:dyDescent="0.3">
      <c r="A35" s="233">
        <v>2051</v>
      </c>
      <c r="B35" s="239">
        <f>VLOOKUP(A35,'Short-Lived Assets Schedule '!$I$4:$Q$50,5,FALSE)</f>
        <v>0</v>
      </c>
      <c r="C35" s="235">
        <f>E35*HLOOKUP(A35,Forecast_Landfill!$D$38:$AU$40,3,FALSE)</f>
        <v>921715.49224085093</v>
      </c>
      <c r="D35" s="236">
        <f t="shared" si="0"/>
        <v>5386110.0537274396</v>
      </c>
      <c r="E35" s="240">
        <f>E34*(1+Inf)^(A35-A32)</f>
        <v>8.5255333972170586</v>
      </c>
    </row>
    <row r="36" spans="1:5" x14ac:dyDescent="0.3">
      <c r="A36" s="233">
        <v>2052</v>
      </c>
      <c r="B36" s="239">
        <f>VLOOKUP(A36,'Short-Lived Assets Schedule '!$I$4:$Q$50,5,FALSE)</f>
        <v>0</v>
      </c>
      <c r="C36" s="235">
        <f>E36*HLOOKUP(A36,Forecast_Landfill!$D$38:$AU$40,3,FALSE)</f>
        <v>945954.76547205274</v>
      </c>
      <c r="D36" s="236">
        <f t="shared" si="0"/>
        <v>6343782.9940724196</v>
      </c>
      <c r="E36" s="240">
        <f>E35</f>
        <v>8.5255333972170586</v>
      </c>
    </row>
    <row r="37" spans="1:5" x14ac:dyDescent="0.3">
      <c r="A37" s="233">
        <v>2053</v>
      </c>
      <c r="B37" s="239">
        <f>VLOOKUP(A37,'Short-Lived Assets Schedule '!$I$4:$Q$50,5,FALSE)</f>
        <v>0</v>
      </c>
      <c r="C37" s="235">
        <f>E37*HLOOKUP(A37,Forecast_Landfill!$D$38:$AU$40,3,FALSE)</f>
        <v>970888.79047925526</v>
      </c>
      <c r="D37" s="236">
        <f t="shared" si="0"/>
        <v>7328330.2393302983</v>
      </c>
      <c r="E37" s="240">
        <f>E36</f>
        <v>8.5255333972170586</v>
      </c>
    </row>
    <row r="38" spans="1:5" x14ac:dyDescent="0.3">
      <c r="A38" s="233">
        <v>2054</v>
      </c>
      <c r="B38" s="239">
        <f>VLOOKUP(A38,'Short-Lived Assets Schedule '!$I$4:$Q$50,5,FALSE)</f>
        <v>8426343.2982145716</v>
      </c>
      <c r="C38" s="235">
        <f>E38*HLOOKUP(A38,Forecast_Landfill!$D$38:$AU$40,3,FALSE)</f>
        <v>1088944.2775899468</v>
      </c>
      <c r="D38" s="236">
        <f t="shared" si="0"/>
        <v>6676.8234619233153</v>
      </c>
      <c r="E38" s="240">
        <f>E37*(1+Inf)^(A38-A35)</f>
        <v>9.3160805325408056</v>
      </c>
    </row>
    <row r="39" spans="1:5" x14ac:dyDescent="0.3">
      <c r="A39" s="233">
        <v>2055</v>
      </c>
      <c r="B39" s="239">
        <f>VLOOKUP(A39,'Short-Lived Assets Schedule '!$I$4:$Q$50,5,FALSE)</f>
        <v>0</v>
      </c>
      <c r="C39" s="235">
        <f>E39*HLOOKUP(A39,Forecast_Landfill!$D$38:$AU$40,3,FALSE)</f>
        <v>815888.77218564926</v>
      </c>
      <c r="D39" s="236">
        <f t="shared" si="0"/>
        <v>823394.83806668199</v>
      </c>
      <c r="E39" s="396">
        <v>6.8</v>
      </c>
    </row>
    <row r="40" spans="1:5" x14ac:dyDescent="0.3">
      <c r="A40" s="233">
        <v>2056</v>
      </c>
      <c r="B40" s="239">
        <f>VLOOKUP(A40,'Short-Lived Assets Schedule '!$I$4:$Q$50,5,FALSE)</f>
        <v>0</v>
      </c>
      <c r="C40" s="235">
        <f>E40*HLOOKUP(A40,Forecast_Landfill!$D$38:$AU$40,3,FALSE)</f>
        <v>837539.79752787575</v>
      </c>
      <c r="D40" s="236">
        <f t="shared" si="0"/>
        <v>1663418.965068219</v>
      </c>
      <c r="E40" s="240">
        <f>E39</f>
        <v>6.8</v>
      </c>
    </row>
    <row r="41" spans="1:5" x14ac:dyDescent="0.3">
      <c r="A41" s="233">
        <v>2057</v>
      </c>
      <c r="B41" s="239">
        <f>VLOOKUP(A41,'Short-Lived Assets Schedule '!$I$4:$Q$50,5,FALSE)</f>
        <v>0</v>
      </c>
      <c r="C41" s="235">
        <f>E41*HLOOKUP(A41,Forecast_Landfill!$D$38:$AU$40,3,FALSE)</f>
        <v>939542.11254112155</v>
      </c>
      <c r="D41" s="236">
        <f t="shared" si="0"/>
        <v>2607227.4576520184</v>
      </c>
      <c r="E41" s="240">
        <f>E40*(1+Inf)^(A41-A38)</f>
        <v>7.4305436</v>
      </c>
    </row>
    <row r="42" spans="1:5" x14ac:dyDescent="0.3">
      <c r="A42" s="233">
        <v>2058</v>
      </c>
      <c r="B42" s="239">
        <f>VLOOKUP(A42,'Short-Lived Assets Schedule '!$I$4:$Q$50,5,FALSE)</f>
        <v>0</v>
      </c>
      <c r="C42" s="235">
        <f>E42*HLOOKUP(A42,Forecast_Landfill!$D$38:$AU$40,3,FALSE)</f>
        <v>964583.34767799138</v>
      </c>
      <c r="D42" s="236">
        <f t="shared" si="0"/>
        <v>3577989.8435929916</v>
      </c>
      <c r="E42" s="240">
        <f>E41</f>
        <v>7.4305436</v>
      </c>
    </row>
    <row r="43" spans="1:5" x14ac:dyDescent="0.3">
      <c r="A43" s="233">
        <v>2059</v>
      </c>
      <c r="B43" s="239">
        <f>VLOOKUP(A43,'Short-Lived Assets Schedule '!$I$4:$Q$50,5,FALSE)</f>
        <v>15650.702971214407</v>
      </c>
      <c r="C43" s="235">
        <f>E43*HLOOKUP(A43,Forecast_Landfill!$D$38:$AU$40,3,FALSE)</f>
        <v>990347.0540977607</v>
      </c>
      <c r="D43" s="236">
        <f t="shared" si="0"/>
        <v>4560832.5214608219</v>
      </c>
      <c r="E43" s="240">
        <f>E42</f>
        <v>7.4305436</v>
      </c>
    </row>
    <row r="44" spans="1:5" x14ac:dyDescent="0.3">
      <c r="A44" s="233">
        <v>2060</v>
      </c>
      <c r="B44" s="239">
        <f>VLOOKUP(A44,'Short-Lived Assets Schedule '!$I$4:$Q$50,5,FALSE)</f>
        <v>0</v>
      </c>
      <c r="C44" s="235">
        <f>E44*HLOOKUP(A44,Forecast_Landfill!$D$38:$AU$40,3,FALSE)</f>
        <v>1111144.7799216597</v>
      </c>
      <c r="D44" s="236">
        <f t="shared" si="0"/>
        <v>5682210.1112053255</v>
      </c>
      <c r="E44" s="240">
        <f>E43*(1+Inf)^(A44-A41)</f>
        <v>8.1195556163972</v>
      </c>
    </row>
    <row r="45" spans="1:5" x14ac:dyDescent="0.3">
      <c r="A45" s="233">
        <v>2061</v>
      </c>
      <c r="B45" s="239">
        <f>VLOOKUP(A45,'Short-Lived Assets Schedule '!$I$4:$Q$50,5,FALSE)</f>
        <v>0</v>
      </c>
      <c r="C45" s="235">
        <f>E45*HLOOKUP(A45,Forecast_Landfill!$D$38:$AU$40,3,FALSE)</f>
        <v>1140948.0943836262</v>
      </c>
      <c r="D45" s="236">
        <f t="shared" si="0"/>
        <v>6835663.5739057455</v>
      </c>
      <c r="E45" s="240">
        <f>E44</f>
        <v>8.1195556163972</v>
      </c>
    </row>
    <row r="46" spans="1:5" x14ac:dyDescent="0.3">
      <c r="A46" s="233">
        <v>2062</v>
      </c>
      <c r="B46" s="239">
        <f>VLOOKUP(A46,'Short-Lived Assets Schedule '!$I$4:$Q$50,5,FALSE)</f>
        <v>0</v>
      </c>
      <c r="C46" s="235">
        <f>E46*HLOOKUP(A46,Forecast_Landfill!$D$38:$AU$40,3,FALSE)</f>
        <v>1171614.0448847096</v>
      </c>
      <c r="D46" s="236">
        <f t="shared" si="0"/>
        <v>8022120.559983151</v>
      </c>
      <c r="E46" s="240">
        <f>E45</f>
        <v>8.1195556163972</v>
      </c>
    </row>
    <row r="47" spans="1:5" x14ac:dyDescent="0.3">
      <c r="A47" s="233">
        <v>2063</v>
      </c>
      <c r="B47" s="239">
        <f>VLOOKUP(A47,'Short-Lived Assets Schedule '!$I$4:$Q$50,5,FALSE)</f>
        <v>0</v>
      </c>
      <c r="C47" s="235">
        <f>E47*HLOOKUP(A47,Forecast_Landfill!$D$38:$AU$40,3,FALSE)</f>
        <v>1314734.7541578009</v>
      </c>
      <c r="D47" s="236">
        <f t="shared" si="0"/>
        <v>9354214.2900150754</v>
      </c>
      <c r="E47" s="240">
        <f>E46*(1+Inf)^(A47-A44)</f>
        <v>8.8724576500388626</v>
      </c>
    </row>
    <row r="48" spans="1:5" x14ac:dyDescent="0.3">
      <c r="A48" s="233">
        <v>2064</v>
      </c>
      <c r="B48" s="239">
        <f>VLOOKUP(A48,'Short-Lived Assets Schedule '!$I$4:$Q$50,5,FALSE)</f>
        <v>10719518.969810501</v>
      </c>
      <c r="C48" s="235">
        <f>E48*HLOOKUP(A48,Forecast_Landfill!$D$38:$AU$40,3,FALSE)</f>
        <v>1345275.9189508387</v>
      </c>
      <c r="D48" s="236">
        <f t="shared" si="0"/>
        <v>24.943654394570331</v>
      </c>
      <c r="E48" s="396">
        <v>8.84</v>
      </c>
    </row>
    <row r="49" spans="1:6" x14ac:dyDescent="0.3">
      <c r="A49" s="233">
        <v>2065</v>
      </c>
      <c r="B49" s="239">
        <f>VLOOKUP(A49,'Short-Lived Assets Schedule '!$I$4:$Q$50,5,FALSE)</f>
        <v>0</v>
      </c>
      <c r="C49" s="235">
        <f>E49*HLOOKUP(A49,Forecast_Landfill!$D$38:$AU$40,3,FALSE)</f>
        <v>0</v>
      </c>
      <c r="D49" s="236">
        <f t="shared" si="0"/>
        <v>24.993541703359472</v>
      </c>
      <c r="E49" s="396">
        <v>0</v>
      </c>
    </row>
    <row r="50" spans="1:6" x14ac:dyDescent="0.3">
      <c r="A50" s="233">
        <v>2066</v>
      </c>
      <c r="B50" s="239">
        <f>VLOOKUP(A50,'Short-Lived Assets Schedule '!$I$4:$Q$50,5,FALSE)</f>
        <v>0</v>
      </c>
      <c r="C50" s="235">
        <f>E50*HLOOKUP(A50,Forecast_Landfill!$D$38:$AU$40,3,FALSE)</f>
        <v>0</v>
      </c>
      <c r="D50" s="524">
        <f t="shared" si="0"/>
        <v>25.043528786766192</v>
      </c>
      <c r="E50" s="396">
        <v>0</v>
      </c>
      <c r="F50" s="7" t="s">
        <v>176</v>
      </c>
    </row>
  </sheetData>
  <sheetProtection algorithmName="SHA-512" hashValue="HOt9koGxUT4KdZfRbZRjfB81JZyk+kP0fc1+g9E+gwUK8tJQhp5gOJBNzzJ+tektyM+20qSgpwoTD3rX50miLA==" saltValue="eRfYVXiZZw2ryNzO008ElA==" spinCount="100000" sheet="1" objects="1" scenarios="1"/>
  <mergeCells count="1">
    <mergeCell ref="F7:H7"/>
  </mergeCell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Plus_Penny">
                <anchor moveWithCells="1">
                  <from>
                    <xdr:col>7</xdr:col>
                    <xdr:colOff>838200</xdr:colOff>
                    <xdr:row>6</xdr:row>
                    <xdr:rowOff>146050</xdr:rowOff>
                  </from>
                  <to>
                    <xdr:col>7</xdr:col>
                    <xdr:colOff>1479550</xdr:colOff>
                    <xdr:row>6</xdr:row>
                    <xdr:rowOff>438150</xdr:rowOff>
                  </to>
                </anchor>
              </controlPr>
            </control>
          </mc:Choice>
        </mc:AlternateContent>
        <mc:AlternateContent xmlns:mc="http://schemas.openxmlformats.org/markup-compatibility/2006">
          <mc:Choice Requires="x14">
            <control shapeId="110594" r:id="rId5" name="Button 2">
              <controlPr defaultSize="0" print="0" autoFill="0" autoPict="0" macro="[0]!Minus_Penny">
                <anchor moveWithCells="1">
                  <from>
                    <xdr:col>7</xdr:col>
                    <xdr:colOff>1600200</xdr:colOff>
                    <xdr:row>6</xdr:row>
                    <xdr:rowOff>152400</xdr:rowOff>
                  </from>
                  <to>
                    <xdr:col>7</xdr:col>
                    <xdr:colOff>2114550</xdr:colOff>
                    <xdr:row>6</xdr:row>
                    <xdr:rowOff>457200</xdr:rowOff>
                  </to>
                </anchor>
              </controlPr>
            </control>
          </mc:Choice>
        </mc:AlternateContent>
        <mc:AlternateContent xmlns:mc="http://schemas.openxmlformats.org/markup-compatibility/2006">
          <mc:Choice Requires="x14">
            <control shapeId="110595" r:id="rId6" name="Button 3">
              <controlPr defaultSize="0" print="0" autoFill="0" autoPict="0" macro="[0]!Set_Rate_ERR_Landfill">
                <anchor moveWithCells="1">
                  <from>
                    <xdr:col>6</xdr:col>
                    <xdr:colOff>298450</xdr:colOff>
                    <xdr:row>6</xdr:row>
                    <xdr:rowOff>152400</xdr:rowOff>
                  </from>
                  <to>
                    <xdr:col>7</xdr:col>
                    <xdr:colOff>679450</xdr:colOff>
                    <xdr:row>6</xdr:row>
                    <xdr:rowOff>469900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79E8-4E32-4370-84B8-0495B55D89DB}">
  <sheetPr codeName="Sheet26">
    <tabColor theme="6" tint="0.39997558519241921"/>
  </sheetPr>
  <dimension ref="A1:W50"/>
  <sheetViews>
    <sheetView topLeftCell="A3" zoomScale="55" zoomScaleNormal="55" workbookViewId="0">
      <selection activeCell="D36" sqref="D36"/>
    </sheetView>
  </sheetViews>
  <sheetFormatPr defaultColWidth="9.1796875" defaultRowHeight="14" x14ac:dyDescent="0.3"/>
  <cols>
    <col min="1" max="1" width="13.1796875" style="221" customWidth="1"/>
    <col min="2" max="2" width="15.26953125" style="221" customWidth="1"/>
    <col min="3" max="3" width="13.1796875" style="221" customWidth="1"/>
    <col min="4" max="4" width="13.54296875" style="221" bestFit="1" customWidth="1"/>
    <col min="5" max="5" width="9.1796875" style="221"/>
    <col min="6" max="6" width="21.7265625" style="221" customWidth="1"/>
    <col min="7" max="7" width="6.81640625" style="221" customWidth="1"/>
    <col min="8" max="8" width="31.453125" style="221" customWidth="1"/>
    <col min="9" max="9" width="6.54296875" style="221" customWidth="1"/>
    <col min="10" max="10" width="11.26953125" style="221" customWidth="1"/>
    <col min="11" max="11" width="15.54296875" style="221" customWidth="1"/>
    <col min="12" max="12" width="16" style="221" customWidth="1"/>
    <col min="13" max="13" width="11.81640625" style="221" customWidth="1"/>
    <col min="14" max="14" width="12" style="221" bestFit="1" customWidth="1"/>
    <col min="15" max="15" width="12.7265625" style="221" bestFit="1" customWidth="1"/>
    <col min="16" max="16" width="9.7265625" style="221" bestFit="1" customWidth="1"/>
    <col min="17" max="17" width="9.1796875" style="2"/>
    <col min="18" max="16384" width="9.1796875" style="221"/>
  </cols>
  <sheetData>
    <row r="1" spans="1:23" ht="15.5" x14ac:dyDescent="0.35">
      <c r="A1" s="218" t="s">
        <v>394</v>
      </c>
      <c r="B1" s="219"/>
      <c r="C1" s="219"/>
      <c r="D1" s="219"/>
      <c r="E1" s="219"/>
      <c r="F1" s="219"/>
      <c r="G1" s="219"/>
      <c r="H1" s="220"/>
      <c r="J1" s="222"/>
    </row>
    <row r="2" spans="1:23" ht="15.5" x14ac:dyDescent="0.35">
      <c r="A2" s="218" t="s">
        <v>21</v>
      </c>
      <c r="H2" s="223"/>
      <c r="J2" s="8"/>
    </row>
    <row r="3" spans="1:23" x14ac:dyDescent="0.3">
      <c r="A3" s="225"/>
      <c r="B3" s="226"/>
      <c r="H3" s="223"/>
      <c r="J3" s="3"/>
    </row>
    <row r="4" spans="1:23" x14ac:dyDescent="0.3">
      <c r="A4" s="225"/>
      <c r="B4" s="227"/>
      <c r="H4" s="223"/>
      <c r="J4" s="3"/>
    </row>
    <row r="5" spans="1:23" x14ac:dyDescent="0.3">
      <c r="A5" s="225"/>
      <c r="B5" s="227"/>
      <c r="H5" s="223"/>
    </row>
    <row r="6" spans="1:23" ht="14.5" thickBot="1" x14ac:dyDescent="0.35">
      <c r="A6" s="228"/>
      <c r="H6" s="223"/>
    </row>
    <row r="7" spans="1:23" ht="26" x14ac:dyDescent="0.3">
      <c r="A7" s="229" t="s">
        <v>15</v>
      </c>
      <c r="B7" s="230" t="s">
        <v>2</v>
      </c>
      <c r="C7" s="231" t="s">
        <v>20</v>
      </c>
      <c r="D7" s="231" t="s">
        <v>69</v>
      </c>
      <c r="E7" s="232" t="s">
        <v>16</v>
      </c>
      <c r="F7" s="723" t="s">
        <v>17</v>
      </c>
      <c r="G7" s="724"/>
      <c r="H7" s="725"/>
    </row>
    <row r="8" spans="1:23" x14ac:dyDescent="0.3">
      <c r="A8" s="233">
        <v>2024</v>
      </c>
      <c r="B8" s="234" t="s">
        <v>68</v>
      </c>
      <c r="C8" s="235">
        <f>E8*HLOOKUP(A8,Forecast_Landfill!$D$38:$AU$40,3,FALSE)</f>
        <v>32978.055593561548</v>
      </c>
      <c r="D8" s="236">
        <f>C8</f>
        <v>32978.055593561548</v>
      </c>
      <c r="E8" s="396">
        <v>4.55</v>
      </c>
      <c r="F8" s="237"/>
      <c r="G8" s="238"/>
      <c r="H8" s="2"/>
    </row>
    <row r="9" spans="1:23" x14ac:dyDescent="0.3">
      <c r="A9" s="233">
        <v>2025</v>
      </c>
      <c r="B9" s="239">
        <f>VLOOKUP(A9,'Short-Lived Assets Schedule '!$I$5:$U$50,13,FALSE)</f>
        <v>0</v>
      </c>
      <c r="C9" s="235">
        <f>E9*HLOOKUP(A9,Forecast_Landfill!$D$38:$AU$40,3,FALSE)</f>
        <v>215658.90589041484</v>
      </c>
      <c r="D9" s="236">
        <f t="shared" ref="D9:D50" si="0">D8+C9-B9+(D8+C9/2)*Interest_LGIP</f>
        <v>248918.57650105393</v>
      </c>
      <c r="E9" s="240">
        <f>Start_ERR_Hauling</f>
        <v>4.55</v>
      </c>
      <c r="F9" s="241"/>
      <c r="G9" s="241"/>
      <c r="H9" s="241"/>
      <c r="J9" s="222"/>
      <c r="K9" s="241"/>
      <c r="L9" s="241"/>
      <c r="M9" s="241"/>
    </row>
    <row r="10" spans="1:23" ht="14.25" customHeight="1" x14ac:dyDescent="0.3">
      <c r="A10" s="233">
        <v>2026</v>
      </c>
      <c r="B10" s="239">
        <f>VLOOKUP(A10,'Short-Lived Assets Schedule '!$I$5:$U$50,13,FALSE)</f>
        <v>0</v>
      </c>
      <c r="C10" s="235">
        <f>E10*HLOOKUP(A10,Forecast_Landfill!$D$38:$AU$40,3,FALSE)</f>
        <v>262542.19196923333</v>
      </c>
      <c r="D10" s="236">
        <f t="shared" si="0"/>
        <v>512221.14781525859</v>
      </c>
      <c r="E10" s="240">
        <f>E9</f>
        <v>4.55</v>
      </c>
      <c r="F10" s="242"/>
      <c r="G10" s="243" t="s">
        <v>109</v>
      </c>
      <c r="H10" s="241"/>
      <c r="J10" s="8"/>
      <c r="N10" s="244"/>
      <c r="O10" s="244"/>
      <c r="P10" s="244"/>
      <c r="R10" s="244"/>
      <c r="S10" s="244"/>
      <c r="T10" s="244"/>
      <c r="U10" s="244"/>
      <c r="V10" s="244"/>
      <c r="W10" s="244"/>
    </row>
    <row r="11" spans="1:23" x14ac:dyDescent="0.3">
      <c r="A11" s="233">
        <v>2027</v>
      </c>
      <c r="B11" s="239">
        <f>VLOOKUP(A11,'Short-Lived Assets Schedule '!$I$5:$U$50,13,FALSE)</f>
        <v>0</v>
      </c>
      <c r="C11" s="235">
        <f>E11*HLOOKUP(A11,Forecast_Landfill!$D$38:$AU$40,3,FALSE)</f>
        <v>293934.44450108689</v>
      </c>
      <c r="D11" s="236">
        <f t="shared" si="0"/>
        <v>807473.96905647719</v>
      </c>
      <c r="E11" s="240">
        <f>E10*(1+Inf)^(A11-A8)</f>
        <v>4.97190785</v>
      </c>
      <c r="G11" s="245" t="s">
        <v>483</v>
      </c>
      <c r="H11" s="241"/>
      <c r="J11" s="3"/>
      <c r="N11" s="244"/>
      <c r="O11" s="244"/>
      <c r="P11" s="244"/>
      <c r="R11" s="244"/>
      <c r="S11" s="244"/>
      <c r="T11" s="244"/>
      <c r="U11" s="244"/>
      <c r="V11" s="244"/>
      <c r="W11" s="244"/>
    </row>
    <row r="12" spans="1:23" x14ac:dyDescent="0.3">
      <c r="A12" s="233">
        <v>2028</v>
      </c>
      <c r="B12" s="239">
        <f>VLOOKUP(A12,'Short-Lived Assets Schedule '!$I$5:$U$50,13,FALSE)</f>
        <v>0</v>
      </c>
      <c r="C12" s="235">
        <f>E12*HLOOKUP(A12,Forecast_Landfill!$D$38:$AU$40,3,FALSE)</f>
        <v>301178.01243126846</v>
      </c>
      <c r="D12" s="236">
        <f t="shared" si="0"/>
        <v>1110568.1074382898</v>
      </c>
      <c r="E12" s="240">
        <f>E11</f>
        <v>4.97190785</v>
      </c>
      <c r="F12" s="18"/>
      <c r="G12" s="245" t="s">
        <v>111</v>
      </c>
      <c r="H12" s="241"/>
      <c r="J12" s="3"/>
      <c r="M12" s="224"/>
      <c r="N12" s="244"/>
      <c r="O12" s="244"/>
      <c r="P12" s="244"/>
      <c r="R12" s="244"/>
      <c r="S12" s="244"/>
      <c r="T12" s="244"/>
      <c r="U12" s="244"/>
      <c r="V12" s="244"/>
      <c r="W12" s="244"/>
    </row>
    <row r="13" spans="1:23" x14ac:dyDescent="0.3">
      <c r="A13" s="233">
        <v>2029</v>
      </c>
      <c r="B13" s="239">
        <f>VLOOKUP(A13,'Short-Lived Assets Schedule '!$I$5:$U$50,13,FALSE)</f>
        <v>1084000</v>
      </c>
      <c r="C13" s="235">
        <f>E13*HLOOKUP(A13,Forecast_Landfill!$D$38:$AU$40,3,FALSE)</f>
        <v>308623.35904685647</v>
      </c>
      <c r="D13" s="236">
        <f t="shared" si="0"/>
        <v>337721.22605906962</v>
      </c>
      <c r="E13" s="240">
        <f>E12</f>
        <v>4.97190785</v>
      </c>
      <c r="G13" s="245" t="s">
        <v>110</v>
      </c>
      <c r="H13" s="246"/>
      <c r="I13" s="246"/>
      <c r="J13" s="246"/>
      <c r="K13" s="246"/>
      <c r="L13" s="246"/>
      <c r="M13" s="246"/>
      <c r="N13" s="246"/>
      <c r="O13" s="246"/>
      <c r="P13" s="246"/>
      <c r="R13" s="247"/>
      <c r="S13" s="247"/>
      <c r="T13" s="247"/>
      <c r="U13" s="247"/>
      <c r="V13" s="247"/>
      <c r="W13" s="247"/>
    </row>
    <row r="14" spans="1:23" x14ac:dyDescent="0.3">
      <c r="A14" s="233">
        <v>2030</v>
      </c>
      <c r="B14" s="239">
        <f>VLOOKUP(A14,'Short-Lived Assets Schedule '!$I$5:$U$50,13,FALSE)</f>
        <v>0</v>
      </c>
      <c r="C14" s="235">
        <f>E14*HLOOKUP(A14,Forecast_Landfill!$D$38:$AU$40,3,FALSE)</f>
        <v>345603.72860844107</v>
      </c>
      <c r="D14" s="236">
        <f t="shared" si="0"/>
        <v>684346.00084823731</v>
      </c>
      <c r="E14" s="240">
        <f>E13*(1+Inf)^(A14-A11)</f>
        <v>5.4329379492069503</v>
      </c>
      <c r="G14" s="245" t="s">
        <v>183</v>
      </c>
      <c r="H14" s="246"/>
      <c r="I14" s="246"/>
      <c r="J14" s="246"/>
      <c r="K14" s="246"/>
      <c r="L14" s="246"/>
      <c r="M14" s="246"/>
      <c r="N14" s="246"/>
      <c r="O14" s="246"/>
      <c r="P14" s="246"/>
    </row>
    <row r="15" spans="1:23" x14ac:dyDescent="0.3">
      <c r="A15" s="233">
        <v>2031</v>
      </c>
      <c r="B15" s="239">
        <f>VLOOKUP(A15,'Short-Lived Assets Schedule '!$I$5:$U$50,13,FALSE)</f>
        <v>0</v>
      </c>
      <c r="C15" s="235">
        <f>E15*HLOOKUP(A15,Forecast_Landfill!$D$38:$AU$40,3,FALSE)</f>
        <v>354199.92471775663</v>
      </c>
      <c r="D15" s="236">
        <f t="shared" si="0"/>
        <v>1040268.8174924081</v>
      </c>
      <c r="E15" s="240">
        <f t="shared" ref="E15:E16" si="1">E14</f>
        <v>5.4329379492069503</v>
      </c>
      <c r="G15" s="245" t="s">
        <v>177</v>
      </c>
      <c r="H15" s="246"/>
      <c r="I15" s="246"/>
      <c r="J15" s="246"/>
      <c r="K15" s="246"/>
      <c r="L15" s="246"/>
      <c r="M15" s="246"/>
      <c r="N15" s="246"/>
      <c r="O15" s="246"/>
      <c r="P15" s="246"/>
      <c r="R15" s="248"/>
      <c r="S15" s="248"/>
      <c r="T15" s="248"/>
      <c r="U15" s="248"/>
      <c r="V15" s="248"/>
      <c r="W15" s="248"/>
    </row>
    <row r="16" spans="1:23" x14ac:dyDescent="0.3">
      <c r="A16" s="233">
        <v>2032</v>
      </c>
      <c r="B16" s="239">
        <f>VLOOKUP(A16,'Short-Lived Assets Schedule '!$I$5:$U$50,13,FALSE)</f>
        <v>0</v>
      </c>
      <c r="C16" s="235">
        <f>E16*HLOOKUP(A16,Forecast_Landfill!$D$38:$AU$40,3,FALSE)</f>
        <v>363036.48990012798</v>
      </c>
      <c r="D16" s="236">
        <f t="shared" si="0"/>
        <v>1405748.8815174212</v>
      </c>
      <c r="E16" s="240">
        <f t="shared" si="1"/>
        <v>5.4329379492069503</v>
      </c>
      <c r="F16" s="18"/>
      <c r="G16" s="249"/>
    </row>
    <row r="17" spans="1:12" x14ac:dyDescent="0.3">
      <c r="A17" s="233">
        <v>2033</v>
      </c>
      <c r="B17" s="239">
        <f>VLOOKUP(A17,'Short-Lived Assets Schedule '!$I$5:$U$50,13,FALSE)</f>
        <v>0</v>
      </c>
      <c r="C17" s="235">
        <f>E17*HLOOKUP(A17,Forecast_Landfill!$D$38:$AU$40,3,FALSE)</f>
        <v>406626.06764350663</v>
      </c>
      <c r="D17" s="236">
        <f t="shared" si="0"/>
        <v>1815593.0729916063</v>
      </c>
      <c r="E17" s="240">
        <f>E16*(1+Inf)^(A17-A14)</f>
        <v>5.936717986423063</v>
      </c>
      <c r="F17" s="224"/>
      <c r="G17" s="250" t="s">
        <v>178</v>
      </c>
    </row>
    <row r="18" spans="1:12" x14ac:dyDescent="0.3">
      <c r="A18" s="233">
        <v>2034</v>
      </c>
      <c r="B18" s="239">
        <f>VLOOKUP(A18,'Short-Lived Assets Schedule '!$I$5:$U$50,13,FALSE)</f>
        <v>2033439.5560942104</v>
      </c>
      <c r="C18" s="235">
        <f>E18*HLOOKUP(A18,Forecast_Landfill!$D$38:$AU$40,3,FALSE)</f>
        <v>416830.61445090582</v>
      </c>
      <c r="D18" s="236">
        <f t="shared" si="0"/>
        <v>203032.148108736</v>
      </c>
      <c r="E18" s="240">
        <f t="shared" ref="E18:E19" si="2">E17</f>
        <v>5.936717986423063</v>
      </c>
      <c r="F18" s="224"/>
      <c r="G18" s="249"/>
      <c r="H18" s="241"/>
    </row>
    <row r="19" spans="1:12" x14ac:dyDescent="0.3">
      <c r="A19" s="233">
        <v>2035</v>
      </c>
      <c r="B19" s="239">
        <f>VLOOKUP(A19,'Short-Lived Assets Schedule '!$I$5:$U$50,13,FALSE)</f>
        <v>0</v>
      </c>
      <c r="C19" s="235">
        <f>E19*HLOOKUP(A19,Forecast_Landfill!$D$38:$AU$40,3,FALSE)</f>
        <v>427321.56787528191</v>
      </c>
      <c r="D19" s="236">
        <f t="shared" si="0"/>
        <v>631187.10184811067</v>
      </c>
      <c r="E19" s="240">
        <f t="shared" si="2"/>
        <v>5.936717986423063</v>
      </c>
      <c r="F19" s="22"/>
      <c r="G19" s="251" t="s">
        <v>184</v>
      </c>
    </row>
    <row r="20" spans="1:12" x14ac:dyDescent="0.3">
      <c r="A20" s="233">
        <v>2036</v>
      </c>
      <c r="B20" s="239">
        <f>VLOOKUP(A20,'Short-Lived Assets Schedule '!$I$5:$U$50,13,FALSE)</f>
        <v>0</v>
      </c>
      <c r="C20" s="235">
        <f>E20*HLOOKUP(A20,Forecast_Landfill!$D$38:$AU$40,3,FALSE)</f>
        <v>478731.70551761385</v>
      </c>
      <c r="D20" s="236">
        <f t="shared" si="0"/>
        <v>1111659.9132749385</v>
      </c>
      <c r="E20" s="240">
        <f>E19*(1+Inf)^(A20-A17)</f>
        <v>6.4872120351501144</v>
      </c>
      <c r="F20" s="242"/>
      <c r="G20" s="102" t="s">
        <v>259</v>
      </c>
      <c r="H20" s="103"/>
      <c r="I20" s="103"/>
      <c r="J20" s="103"/>
      <c r="K20" s="103"/>
      <c r="L20" s="103"/>
    </row>
    <row r="21" spans="1:12" x14ac:dyDescent="0.3">
      <c r="A21" s="233">
        <v>2037</v>
      </c>
      <c r="B21" s="239">
        <f>VLOOKUP(A21,'Short-Lived Assets Schedule '!$I$5:$U$50,13,FALSE)</f>
        <v>0</v>
      </c>
      <c r="C21" s="235">
        <f>E21*HLOOKUP(A21,Forecast_Landfill!$D$38:$AU$40,3,FALSE)</f>
        <v>490849.1947380724</v>
      </c>
      <c r="D21" s="236">
        <f t="shared" si="0"/>
        <v>1605223.2770342987</v>
      </c>
      <c r="E21" s="240">
        <f t="shared" ref="E21:E22" si="3">E20</f>
        <v>6.4872120351501144</v>
      </c>
      <c r="G21" s="249"/>
    </row>
    <row r="22" spans="1:12" ht="18" x14ac:dyDescent="0.4">
      <c r="A22" s="233">
        <v>2038</v>
      </c>
      <c r="B22" s="239">
        <f>VLOOKUP(A22,'Short-Lived Assets Schedule '!$I$5:$U$50,13,FALSE)</f>
        <v>0</v>
      </c>
      <c r="C22" s="235">
        <f>E22*HLOOKUP(A22,Forecast_Landfill!$D$38:$AU$40,3,FALSE)</f>
        <v>503308.02498631034</v>
      </c>
      <c r="D22" s="236">
        <f t="shared" si="0"/>
        <v>2112245.056599664</v>
      </c>
      <c r="E22" s="240">
        <f t="shared" si="3"/>
        <v>6.4872120351501144</v>
      </c>
      <c r="F22" s="18"/>
      <c r="G22" s="254" t="str">
        <f>IF(MIN($D$8:$D$50)&lt;0,"Update the rates. End-Year Fund Balance cannot be negative.","")</f>
        <v/>
      </c>
    </row>
    <row r="23" spans="1:12" x14ac:dyDescent="0.3">
      <c r="A23" s="233">
        <v>2039</v>
      </c>
      <c r="B23" s="239">
        <f>VLOOKUP(A23,'Short-Lived Assets Schedule '!$I$5:$U$50,13,FALSE)</f>
        <v>2095746.6094630158</v>
      </c>
      <c r="C23" s="235">
        <f>E23*HLOOKUP(A23,Forecast_Landfill!$D$38:$AU$40,3,FALSE)</f>
        <v>563976.32946757216</v>
      </c>
      <c r="D23" s="236">
        <f t="shared" si="0"/>
        <v>585263.24304688745</v>
      </c>
      <c r="E23" s="240">
        <f>E22*(1+Inf)^(A23-A20)</f>
        <v>7.0887517455334788</v>
      </c>
      <c r="F23" s="224"/>
      <c r="G23" s="3"/>
    </row>
    <row r="24" spans="1:12" x14ac:dyDescent="0.3">
      <c r="A24" s="233">
        <v>2040</v>
      </c>
      <c r="B24" s="239">
        <f>VLOOKUP(A24,'Short-Lived Assets Schedule '!$I$5:$U$50,13,FALSE)</f>
        <v>0</v>
      </c>
      <c r="C24" s="235">
        <f>E24*HLOOKUP(A24,Forecast_Landfill!$D$38:$AU$40,3,FALSE)</f>
        <v>578369.65299077344</v>
      </c>
      <c r="D24" s="236">
        <f t="shared" si="0"/>
        <v>1165381.7921767456</v>
      </c>
      <c r="E24" s="240">
        <f t="shared" ref="E24:E25" si="4">E23</f>
        <v>7.0887517455334788</v>
      </c>
      <c r="F24" s="224"/>
      <c r="G24" s="3"/>
    </row>
    <row r="25" spans="1:12" x14ac:dyDescent="0.3">
      <c r="A25" s="233">
        <v>2041</v>
      </c>
      <c r="B25" s="239">
        <f>VLOOKUP(A25,'Short-Lived Assets Schedule '!$I$5:$U$50,13,FALSE)</f>
        <v>0</v>
      </c>
      <c r="C25" s="235">
        <f>E25*HLOOKUP(A25,Forecast_Landfill!$D$38:$AU$40,3,FALSE)</f>
        <v>593169.88313166983</v>
      </c>
      <c r="D25" s="236">
        <f t="shared" si="0"/>
        <v>1761475.6087759007</v>
      </c>
      <c r="E25" s="240">
        <f t="shared" si="4"/>
        <v>7.0887517455334788</v>
      </c>
    </row>
    <row r="26" spans="1:12" x14ac:dyDescent="0.3">
      <c r="A26" s="233">
        <v>2042</v>
      </c>
      <c r="B26" s="239">
        <f>VLOOKUP(A26,'Short-Lived Assets Schedule '!$I$5:$U$50,13,FALSE)</f>
        <v>0</v>
      </c>
      <c r="C26" s="235">
        <f>E26*HLOOKUP(A26,Forecast_Landfill!$D$38:$AU$40,3,FALSE)</f>
        <v>664803.10653743416</v>
      </c>
      <c r="D26" s="236">
        <f t="shared" si="0"/>
        <v>2430466.4696374242</v>
      </c>
      <c r="E26" s="240">
        <f>E25*(1+Inf)^(A26-A23)</f>
        <v>7.7460704286415618</v>
      </c>
    </row>
    <row r="27" spans="1:12" x14ac:dyDescent="0.3">
      <c r="A27" s="233">
        <v>2043</v>
      </c>
      <c r="B27" s="239">
        <f>VLOOKUP(A27,'Short-Lived Assets Schedule '!$I$5:$U$50,13,FALSE)</f>
        <v>0</v>
      </c>
      <c r="C27" s="235">
        <f>E27*HLOOKUP(A27,Forecast_Landfill!$D$38:$AU$40,3,FALSE)</f>
        <v>681904.72420015186</v>
      </c>
      <c r="D27" s="236">
        <f t="shared" si="0"/>
        <v>3117914.031501051</v>
      </c>
      <c r="E27" s="240">
        <f t="shared" ref="E27:E28" si="5">E26</f>
        <v>7.7460704286415618</v>
      </c>
    </row>
    <row r="28" spans="1:12" x14ac:dyDescent="0.3">
      <c r="A28" s="233">
        <v>2044</v>
      </c>
      <c r="B28" s="239">
        <f>VLOOKUP(A28,'Short-Lived Assets Schedule '!$I$5:$U$50,13,FALSE)</f>
        <v>3817324.4611478848</v>
      </c>
      <c r="C28" s="235">
        <f>E28*HLOOKUP(A28,Forecast_Landfill!$D$38:$AU$40,3,FALSE)</f>
        <v>699491.5204923033</v>
      </c>
      <c r="D28" s="236">
        <f t="shared" si="0"/>
        <v>7016.4104289637908</v>
      </c>
      <c r="E28" s="240">
        <f t="shared" si="5"/>
        <v>7.7460704286415618</v>
      </c>
      <c r="F28" s="22"/>
    </row>
    <row r="29" spans="1:12" x14ac:dyDescent="0.3">
      <c r="A29" s="233">
        <v>2045</v>
      </c>
      <c r="B29" s="239">
        <f>VLOOKUP(A29,'Short-Lived Assets Schedule '!$I$5:$U$50,13,FALSE)</f>
        <v>0</v>
      </c>
      <c r="C29" s="235">
        <f>E29*HLOOKUP(A29,Forecast_Landfill!$D$38:$AU$40,3,FALSE)</f>
        <v>530813.7928169521</v>
      </c>
      <c r="D29" s="236">
        <f t="shared" si="0"/>
        <v>538375.04985959083</v>
      </c>
      <c r="E29" s="396">
        <v>5.73</v>
      </c>
    </row>
    <row r="30" spans="1:12" x14ac:dyDescent="0.3">
      <c r="A30" s="233">
        <v>2046</v>
      </c>
      <c r="B30" s="239">
        <f>VLOOKUP(A30,'Short-Lived Assets Schedule '!$I$5:$U$50,13,FALSE)</f>
        <v>0</v>
      </c>
      <c r="C30" s="235">
        <f>E30*HLOOKUP(A30,Forecast_Landfill!$D$38:$AU$40,3,FALSE)</f>
        <v>544573.23142464785</v>
      </c>
      <c r="D30" s="236">
        <f t="shared" si="0"/>
        <v>1084569.6046153826</v>
      </c>
      <c r="E30" s="240">
        <f t="shared" ref="E30:E31" si="6">E29</f>
        <v>5.73</v>
      </c>
    </row>
    <row r="31" spans="1:12" x14ac:dyDescent="0.3">
      <c r="A31" s="233">
        <v>2047</v>
      </c>
      <c r="B31" s="239">
        <f>VLOOKUP(A31,'Short-Lived Assets Schedule '!$I$5:$U$50,13,FALSE)</f>
        <v>0</v>
      </c>
      <c r="C31" s="235">
        <f>E31*HLOOKUP(A31,Forecast_Landfill!$D$38:$AU$40,3,FALSE)</f>
        <v>558724.38535466639</v>
      </c>
      <c r="D31" s="236">
        <f t="shared" si="0"/>
        <v>1646021.8535646342</v>
      </c>
      <c r="E31" s="240">
        <f t="shared" si="6"/>
        <v>5.73</v>
      </c>
    </row>
    <row r="32" spans="1:12" x14ac:dyDescent="0.3">
      <c r="A32" s="233">
        <v>2048</v>
      </c>
      <c r="B32" s="239">
        <f>VLOOKUP(A32,'Short-Lived Assets Schedule '!$I$5:$U$50,13,FALSE)</f>
        <v>0</v>
      </c>
      <c r="C32" s="235">
        <f>E32*HLOOKUP(A32,Forecast_Landfill!$D$38:$AU$40,3,FALSE)</f>
        <v>626437.29653172288</v>
      </c>
      <c r="D32" s="236">
        <f t="shared" si="0"/>
        <v>2276377.631100018</v>
      </c>
      <c r="E32" s="240">
        <f>E31*(1+Inf)^(A32-A29)</f>
        <v>6.2613257100000004</v>
      </c>
    </row>
    <row r="33" spans="1:5" x14ac:dyDescent="0.3">
      <c r="A33" s="233">
        <v>2049</v>
      </c>
      <c r="B33" s="239">
        <f>VLOOKUP(A33,'Short-Lived Assets Schedule '!$I$5:$U$50,13,FALSE)</f>
        <v>1080452.2250394642</v>
      </c>
      <c r="C33" s="235">
        <f>E33*HLOOKUP(A33,Forecast_Landfill!$D$38:$AU$40,3,FALSE)</f>
        <v>642795.17576153728</v>
      </c>
      <c r="D33" s="236">
        <f t="shared" si="0"/>
        <v>1843916.1322600525</v>
      </c>
      <c r="E33" s="240">
        <f t="shared" ref="E33:E34" si="7">E32</f>
        <v>6.2613257100000004</v>
      </c>
    </row>
    <row r="34" spans="1:5" x14ac:dyDescent="0.3">
      <c r="A34" s="233">
        <v>2050</v>
      </c>
      <c r="B34" s="239">
        <f>VLOOKUP(A34,'Short-Lived Assets Schedule '!$I$5:$U$50,13,FALSE)</f>
        <v>0</v>
      </c>
      <c r="C34" s="235">
        <f>E34*HLOOKUP(A34,Forecast_Landfill!$D$38:$AU$40,3,FALSE)</f>
        <v>659620.33613409696</v>
      </c>
      <c r="D34" s="236">
        <f t="shared" si="0"/>
        <v>2507883.9209948038</v>
      </c>
      <c r="E34" s="240">
        <f t="shared" si="7"/>
        <v>6.2613257100000004</v>
      </c>
    </row>
    <row r="35" spans="1:5" x14ac:dyDescent="0.3">
      <c r="A35" s="233">
        <v>2051</v>
      </c>
      <c r="B35" s="239">
        <f>VLOOKUP(A35,'Short-Lived Assets Schedule '!$I$5:$U$50,13,FALSE)</f>
        <v>0</v>
      </c>
      <c r="C35" s="235">
        <f>E35*HLOOKUP(A35,Forecast_Landfill!$D$38:$AU$40,3,FALSE)</f>
        <v>739696.04629412852</v>
      </c>
      <c r="D35" s="236">
        <f t="shared" si="0"/>
        <v>3253335.4311772161</v>
      </c>
      <c r="E35" s="240">
        <f>E34*(1+Inf)^(A35-A32)</f>
        <v>6.8419196591111708</v>
      </c>
    </row>
    <row r="36" spans="1:5" x14ac:dyDescent="0.3">
      <c r="A36" s="233">
        <v>2052</v>
      </c>
      <c r="B36" s="239">
        <f>VLOOKUP(A36,'Short-Lived Assets Schedule '!$I$5:$U$50,13,FALSE)</f>
        <v>0</v>
      </c>
      <c r="C36" s="235">
        <f>E36*HLOOKUP(A36,Forecast_Landfill!$D$38:$AU$40,3,FALSE)</f>
        <v>759148.57229059713</v>
      </c>
      <c r="D36" s="236">
        <f t="shared" si="0"/>
        <v>4019749.8229024583</v>
      </c>
      <c r="E36" s="240">
        <f t="shared" ref="E36:E37" si="8">E35</f>
        <v>6.8419196591111708</v>
      </c>
    </row>
    <row r="37" spans="1:5" x14ac:dyDescent="0.3">
      <c r="A37" s="233">
        <v>2053</v>
      </c>
      <c r="B37" s="239">
        <f>VLOOKUP(A37,'Short-Lived Assets Schedule '!$I$5:$U$50,13,FALSE)</f>
        <v>0</v>
      </c>
      <c r="C37" s="235">
        <f>E37*HLOOKUP(A37,Forecast_Landfill!$D$38:$AU$40,3,FALSE)</f>
        <v>779158.65118293196</v>
      </c>
      <c r="D37" s="236">
        <f t="shared" si="0"/>
        <v>4807727.132382378</v>
      </c>
      <c r="E37" s="240">
        <f t="shared" si="8"/>
        <v>6.8419196591111708</v>
      </c>
    </row>
    <row r="38" spans="1:5" x14ac:dyDescent="0.3">
      <c r="A38" s="233">
        <v>2054</v>
      </c>
      <c r="B38" s="239">
        <f>VLOOKUP(A38,'Short-Lived Assets Schedule '!$I$5:$U$50,13,FALSE)</f>
        <v>5685182.7052698443</v>
      </c>
      <c r="C38" s="235">
        <f>E38*HLOOKUP(A38,Forecast_Landfill!$D$38:$AU$40,3,FALSE)</f>
        <v>873900.6597465541</v>
      </c>
      <c r="D38" s="236">
        <f t="shared" si="0"/>
        <v>6934.4417835987697</v>
      </c>
      <c r="E38" s="240">
        <f>E37*(1+Inf)^(A38-A35)</f>
        <v>7.4763503433415721</v>
      </c>
    </row>
    <row r="39" spans="1:5" x14ac:dyDescent="0.3">
      <c r="A39" s="233">
        <v>2055</v>
      </c>
      <c r="B39" s="239">
        <f>VLOOKUP(A39,'Short-Lived Assets Schedule '!$I$5:$U$50,13,FALSE)</f>
        <v>0</v>
      </c>
      <c r="C39" s="235">
        <f>E39*HLOOKUP(A39,Forecast_Landfill!$D$38:$AU$40,3,FALSE)</f>
        <v>616715.92485797603</v>
      </c>
      <c r="D39" s="236">
        <f t="shared" si="0"/>
        <v>624280.95144999993</v>
      </c>
      <c r="E39" s="396">
        <v>5.14</v>
      </c>
    </row>
    <row r="40" spans="1:5" x14ac:dyDescent="0.3">
      <c r="A40" s="233">
        <v>2056</v>
      </c>
      <c r="B40" s="239">
        <f>VLOOKUP(A40,'Short-Lived Assets Schedule '!$I$5:$U$50,13,FALSE)</f>
        <v>0</v>
      </c>
      <c r="C40" s="235">
        <f>E40*HLOOKUP(A40,Forecast_Landfill!$D$38:$AU$40,3,FALSE)</f>
        <v>633081.55283724715</v>
      </c>
      <c r="D40" s="236">
        <f t="shared" si="0"/>
        <v>1259244.1477429844</v>
      </c>
      <c r="E40" s="240">
        <f t="shared" ref="E40" si="9">E39</f>
        <v>5.14</v>
      </c>
    </row>
    <row r="41" spans="1:5" x14ac:dyDescent="0.3">
      <c r="A41" s="233">
        <v>2057</v>
      </c>
      <c r="B41" s="239">
        <f>VLOOKUP(A41,'Short-Lived Assets Schedule '!$I$5:$U$50,13,FALSE)</f>
        <v>0</v>
      </c>
      <c r="C41" s="235">
        <f>E41*HLOOKUP(A41,Forecast_Landfill!$D$38:$AU$40,3,FALSE)</f>
        <v>710183.30271490652</v>
      </c>
      <c r="D41" s="236">
        <f t="shared" si="0"/>
        <v>1972656.1220560919</v>
      </c>
      <c r="E41" s="240">
        <f>E40*(1+Inf)^(A41-A38)</f>
        <v>5.6166167799999993</v>
      </c>
    </row>
    <row r="42" spans="1:5" x14ac:dyDescent="0.3">
      <c r="A42" s="233">
        <v>2058</v>
      </c>
      <c r="B42" s="239">
        <f>VLOOKUP(A42,'Short-Lived Assets Schedule '!$I$5:$U$50,13,FALSE)</f>
        <v>0</v>
      </c>
      <c r="C42" s="235">
        <f>E42*HLOOKUP(A42,Forecast_Landfill!$D$38:$AU$40,3,FALSE)</f>
        <v>729111.53045071696</v>
      </c>
      <c r="D42" s="236">
        <f t="shared" si="0"/>
        <v>2706442.0762813715</v>
      </c>
      <c r="E42" s="240">
        <f t="shared" ref="E42:E43" si="10">E41</f>
        <v>5.6166167799999993</v>
      </c>
    </row>
    <row r="43" spans="1:5" x14ac:dyDescent="0.3">
      <c r="A43" s="233">
        <v>2059</v>
      </c>
      <c r="B43" s="239">
        <f>VLOOKUP(A43,'Short-Lived Assets Schedule '!$I$5:$U$50,13,FALSE)</f>
        <v>3141733.7075548922</v>
      </c>
      <c r="C43" s="235">
        <f>E43*HLOOKUP(A43,Forecast_Landfill!$D$38:$AU$40,3,FALSE)</f>
        <v>748585.86147977784</v>
      </c>
      <c r="D43" s="236">
        <f t="shared" si="0"/>
        <v>319455.70022029971</v>
      </c>
      <c r="E43" s="240">
        <f t="shared" si="10"/>
        <v>5.6166167799999993</v>
      </c>
    </row>
    <row r="44" spans="1:5" x14ac:dyDescent="0.3">
      <c r="A44" s="233">
        <v>2060</v>
      </c>
      <c r="B44" s="239">
        <f>VLOOKUP(A44,'Short-Lived Assets Schedule '!$I$5:$U$50,13,FALSE)</f>
        <v>0</v>
      </c>
      <c r="C44" s="235">
        <f>E44*HLOOKUP(A44,Forecast_Landfill!$D$38:$AU$40,3,FALSE)</f>
        <v>839894.73070548975</v>
      </c>
      <c r="D44" s="236">
        <f t="shared" si="0"/>
        <v>1160829.2370569357</v>
      </c>
      <c r="E44" s="240">
        <f>E43*(1+Inf)^(A44-A41)</f>
        <v>6.1374288041590592</v>
      </c>
    </row>
    <row r="45" spans="1:5" x14ac:dyDescent="0.3">
      <c r="A45" s="233">
        <v>2061</v>
      </c>
      <c r="B45" s="239">
        <f>VLOOKUP(A45,'Short-Lived Assets Schedule '!$I$5:$U$50,13,FALSE)</f>
        <v>0</v>
      </c>
      <c r="C45" s="235">
        <f>E45*HLOOKUP(A45,Forecast_Landfill!$D$38:$AU$40,3,FALSE)</f>
        <v>862422.53016644681</v>
      </c>
      <c r="D45" s="236">
        <f t="shared" si="0"/>
        <v>2026435.8482276627</v>
      </c>
      <c r="E45" s="240">
        <f t="shared" ref="E45:E46" si="11">E44</f>
        <v>6.1374288041590592</v>
      </c>
    </row>
    <row r="46" spans="1:5" x14ac:dyDescent="0.3">
      <c r="A46" s="233">
        <v>2062</v>
      </c>
      <c r="B46" s="239">
        <f>VLOOKUP(A46,'Short-Lived Assets Schedule '!$I$5:$U$50,13,FALSE)</f>
        <v>0</v>
      </c>
      <c r="C46" s="235">
        <f>E46*HLOOKUP(A46,Forecast_Landfill!$D$38:$AU$40,3,FALSE)</f>
        <v>885602.38098638342</v>
      </c>
      <c r="D46" s="236">
        <f t="shared" si="0"/>
        <v>2916976.7032914879</v>
      </c>
      <c r="E46" s="240">
        <f t="shared" si="11"/>
        <v>6.1374288041590592</v>
      </c>
    </row>
    <row r="47" spans="1:5" x14ac:dyDescent="0.3">
      <c r="A47" s="233">
        <v>2063</v>
      </c>
      <c r="B47" s="239">
        <f>VLOOKUP(A47,'Short-Lived Assets Schedule '!$I$5:$U$50,13,FALSE)</f>
        <v>0</v>
      </c>
      <c r="C47" s="235">
        <f>E47*HLOOKUP(A47,Forecast_Landfill!$D$38:$AU$40,3,FALSE)</f>
        <v>993784.79946633766</v>
      </c>
      <c r="D47" s="236">
        <f t="shared" si="0"/>
        <v>3917589.2409638749</v>
      </c>
      <c r="E47" s="240">
        <f>E46*(1+Inf)^(A47-A44)</f>
        <v>6.7065341648823162</v>
      </c>
    </row>
    <row r="48" spans="1:5" x14ac:dyDescent="0.3">
      <c r="A48" s="233">
        <v>2064</v>
      </c>
      <c r="B48" s="239">
        <f>VLOOKUP(A48,'Short-Lived Assets Schedule '!$I$5:$U$50,13,FALSE)</f>
        <v>4935691.5219400357</v>
      </c>
      <c r="C48" s="235">
        <f>E48*HLOOKUP(A48,Forecast_Landfill!$D$38:$AU$40,3,FALSE)</f>
        <v>1010478.7445513087</v>
      </c>
      <c r="D48" s="236">
        <f t="shared" si="0"/>
        <v>1222.120801627083</v>
      </c>
      <c r="E48" s="396">
        <v>6.64</v>
      </c>
    </row>
    <row r="49" spans="1:6" x14ac:dyDescent="0.3">
      <c r="A49" s="233">
        <v>2065</v>
      </c>
      <c r="B49" s="239">
        <f>VLOOKUP(A49,'Short-Lived Assets Schedule '!$I$5:$U$50,13,FALSE)</f>
        <v>0</v>
      </c>
      <c r="C49" s="235">
        <f>E49*HLOOKUP(A49,Forecast_Landfill!$D$38:$AU$40,3,FALSE)</f>
        <v>0</v>
      </c>
      <c r="D49" s="236">
        <f t="shared" si="0"/>
        <v>1224.5650432303371</v>
      </c>
      <c r="E49" s="396">
        <v>0</v>
      </c>
    </row>
    <row r="50" spans="1:6" x14ac:dyDescent="0.3">
      <c r="A50" s="233">
        <v>2066</v>
      </c>
      <c r="B50" s="239">
        <f>VLOOKUP(A50,'Short-Lived Assets Schedule '!$I$5:$U$50,13,FALSE)</f>
        <v>0</v>
      </c>
      <c r="C50" s="235">
        <f>E50*HLOOKUP(A50,Forecast_Landfill!$D$38:$AU$40,3,FALSE)</f>
        <v>0</v>
      </c>
      <c r="D50" s="524">
        <f t="shared" si="0"/>
        <v>1227.0141733167977</v>
      </c>
      <c r="E50" s="396">
        <v>0</v>
      </c>
      <c r="F50" s="7" t="s">
        <v>176</v>
      </c>
    </row>
  </sheetData>
  <sheetProtection algorithmName="SHA-512" hashValue="xG3dNJt5HHFNpc4M/lRyxyoYA/5QK5nOLkNdkNduP88jlzfvXMck0UesxeZ1dfdfOhfVlxML4U7lpAqf2GM4HA==" saltValue="2BJFMy0EoqcKFs4fnizUmw==" spinCount="100000" sheet="1" objects="1" scenarios="1"/>
  <mergeCells count="1">
    <mergeCell ref="F7:H7"/>
  </mergeCell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Plus_Penny">
                <anchor moveWithCells="1">
                  <from>
                    <xdr:col>7</xdr:col>
                    <xdr:colOff>838200</xdr:colOff>
                    <xdr:row>6</xdr:row>
                    <xdr:rowOff>146050</xdr:rowOff>
                  </from>
                  <to>
                    <xdr:col>7</xdr:col>
                    <xdr:colOff>1479550</xdr:colOff>
                    <xdr:row>6</xdr:row>
                    <xdr:rowOff>438150</xdr:rowOff>
                  </to>
                </anchor>
              </controlPr>
            </control>
          </mc:Choice>
        </mc:AlternateContent>
        <mc:AlternateContent xmlns:mc="http://schemas.openxmlformats.org/markup-compatibility/2006">
          <mc:Choice Requires="x14">
            <control shapeId="111618" r:id="rId5" name="Button 2">
              <controlPr defaultSize="0" print="0" autoFill="0" autoPict="0" macro="[0]!Minus_Penny">
                <anchor moveWithCells="1">
                  <from>
                    <xdr:col>7</xdr:col>
                    <xdr:colOff>1619250</xdr:colOff>
                    <xdr:row>6</xdr:row>
                    <xdr:rowOff>165100</xdr:rowOff>
                  </from>
                  <to>
                    <xdr:col>7</xdr:col>
                    <xdr:colOff>2146300</xdr:colOff>
                    <xdr:row>7</xdr:row>
                    <xdr:rowOff>0</xdr:rowOff>
                  </to>
                </anchor>
              </controlPr>
            </control>
          </mc:Choice>
        </mc:AlternateContent>
        <mc:AlternateContent xmlns:mc="http://schemas.openxmlformats.org/markup-compatibility/2006">
          <mc:Choice Requires="x14">
            <control shapeId="111619" r:id="rId6" name="Button 3">
              <controlPr defaultSize="0" print="0" autoFill="0" autoPict="0" macro="[0]!Set_Rate_ERR_Hauling">
                <anchor moveWithCells="1">
                  <from>
                    <xdr:col>6</xdr:col>
                    <xdr:colOff>298450</xdr:colOff>
                    <xdr:row>6</xdr:row>
                    <xdr:rowOff>152400</xdr:rowOff>
                  </from>
                  <to>
                    <xdr:col>7</xdr:col>
                    <xdr:colOff>679450</xdr:colOff>
                    <xdr:row>6</xdr:row>
                    <xdr:rowOff>469900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3B077-10E1-4DAB-B8F1-195F986E6945}">
  <sheetPr codeName="Sheet12">
    <tabColor rgb="FF0070C0"/>
  </sheetPr>
  <dimension ref="B2:N40"/>
  <sheetViews>
    <sheetView topLeftCell="A10" workbookViewId="0">
      <selection activeCell="F34" sqref="F34"/>
    </sheetView>
  </sheetViews>
  <sheetFormatPr defaultColWidth="9.1796875" defaultRowHeight="12.5" x14ac:dyDescent="0.25"/>
  <cols>
    <col min="1" max="1" width="9.1796875" style="2"/>
    <col min="2" max="2" width="62.1796875" style="2" bestFit="1" customWidth="1"/>
    <col min="3" max="3" width="9.1796875" style="2"/>
    <col min="4" max="4" width="11.7265625" style="2" bestFit="1" customWidth="1"/>
    <col min="5" max="5" width="9.1796875" style="2"/>
    <col min="6" max="6" width="31.1796875" style="2" bestFit="1" customWidth="1"/>
    <col min="7" max="7" width="9.1796875" style="2"/>
    <col min="8" max="8" width="9.54296875" style="2" bestFit="1" customWidth="1"/>
    <col min="9" max="9" width="9.1796875" style="2"/>
    <col min="10" max="10" width="7.1796875" style="2" bestFit="1" customWidth="1"/>
    <col min="11" max="11" width="9.1796875" style="2"/>
    <col min="12" max="12" width="8.7265625" style="2" bestFit="1" customWidth="1"/>
    <col min="13" max="13" width="9.1796875" style="2"/>
    <col min="14" max="14" width="9.54296875" style="2" bestFit="1" customWidth="1"/>
    <col min="15" max="16384" width="9.1796875" style="2"/>
  </cols>
  <sheetData>
    <row r="2" spans="2:14" ht="15" x14ac:dyDescent="0.3">
      <c r="B2" s="672" t="s">
        <v>71</v>
      </c>
      <c r="C2" s="672"/>
      <c r="D2" s="672"/>
    </row>
    <row r="3" spans="2:14" ht="15.5" x14ac:dyDescent="0.35">
      <c r="B3" s="673" t="s">
        <v>534</v>
      </c>
      <c r="C3" s="673"/>
      <c r="D3" s="673"/>
    </row>
    <row r="4" spans="2:14" ht="15.5" x14ac:dyDescent="0.35">
      <c r="B4" s="673" t="s">
        <v>302</v>
      </c>
      <c r="C4" s="673"/>
      <c r="D4" s="673"/>
    </row>
    <row r="5" spans="2:14" ht="15.5" x14ac:dyDescent="0.35">
      <c r="B5" s="673" t="s">
        <v>535</v>
      </c>
      <c r="C5" s="673"/>
      <c r="D5" s="673"/>
    </row>
    <row r="6" spans="2:14" ht="15.5" x14ac:dyDescent="0.35">
      <c r="B6" s="673" t="s">
        <v>73</v>
      </c>
      <c r="C6" s="673"/>
      <c r="D6" s="673"/>
    </row>
    <row r="7" spans="2:14" ht="20" x14ac:dyDescent="0.4">
      <c r="B7" s="674" t="s">
        <v>287</v>
      </c>
      <c r="C7" s="674"/>
      <c r="D7" s="675"/>
      <c r="F7" s="672" t="s">
        <v>71</v>
      </c>
      <c r="G7" s="672"/>
      <c r="H7" s="672"/>
      <c r="I7" s="672"/>
      <c r="J7" s="672"/>
      <c r="K7" s="672"/>
      <c r="L7" s="672"/>
      <c r="M7" s="672"/>
      <c r="N7" s="672"/>
    </row>
    <row r="8" spans="2:14" ht="20" x14ac:dyDescent="0.4">
      <c r="B8" s="674"/>
      <c r="C8" s="674"/>
      <c r="D8" s="674"/>
      <c r="F8" s="673" t="s">
        <v>534</v>
      </c>
      <c r="G8" s="673"/>
      <c r="H8" s="673"/>
      <c r="I8" s="673"/>
      <c r="J8" s="673"/>
      <c r="K8" s="673"/>
      <c r="L8" s="673"/>
      <c r="M8" s="673"/>
      <c r="N8" s="673"/>
    </row>
    <row r="9" spans="2:14" ht="15.5" x14ac:dyDescent="0.35">
      <c r="B9" s="676" t="s">
        <v>536</v>
      </c>
      <c r="C9" s="676"/>
      <c r="D9" s="87"/>
      <c r="F9" s="673" t="s">
        <v>302</v>
      </c>
      <c r="G9" s="673"/>
      <c r="H9" s="673"/>
      <c r="I9" s="673"/>
      <c r="J9" s="673"/>
      <c r="K9" s="673"/>
      <c r="L9" s="673"/>
      <c r="M9" s="673"/>
      <c r="N9" s="673"/>
    </row>
    <row r="10" spans="2:14" ht="15.5" x14ac:dyDescent="0.35">
      <c r="C10" s="69"/>
      <c r="D10" s="69"/>
      <c r="F10" s="673" t="s">
        <v>535</v>
      </c>
      <c r="G10" s="673"/>
      <c r="H10" s="673"/>
      <c r="I10" s="673"/>
      <c r="J10" s="673"/>
      <c r="K10" s="673"/>
      <c r="L10" s="673"/>
      <c r="M10" s="673"/>
      <c r="N10" s="673"/>
    </row>
    <row r="11" spans="2:14" ht="15.5" x14ac:dyDescent="0.35">
      <c r="F11" s="673" t="s">
        <v>73</v>
      </c>
      <c r="G11" s="673"/>
      <c r="H11" s="673"/>
      <c r="I11" s="673"/>
      <c r="J11" s="673"/>
      <c r="K11" s="673"/>
      <c r="L11" s="673"/>
      <c r="M11" s="673"/>
      <c r="N11" s="673"/>
    </row>
    <row r="12" spans="2:14" ht="20" x14ac:dyDescent="0.4">
      <c r="B12" s="677" t="s">
        <v>288</v>
      </c>
      <c r="C12" s="677"/>
      <c r="D12" s="678" t="s">
        <v>73</v>
      </c>
      <c r="F12" s="674" t="s">
        <v>74</v>
      </c>
      <c r="G12" s="674"/>
      <c r="H12" s="674"/>
      <c r="I12" s="674"/>
      <c r="J12" s="674"/>
      <c r="K12" s="674"/>
      <c r="L12" s="674"/>
      <c r="M12" s="674"/>
      <c r="N12" s="675"/>
    </row>
    <row r="13" spans="2:14" ht="20" x14ac:dyDescent="0.4">
      <c r="B13" s="682" t="s">
        <v>289</v>
      </c>
      <c r="C13" s="682"/>
      <c r="D13" s="683">
        <v>16815000</v>
      </c>
      <c r="F13" s="674"/>
      <c r="G13" s="674"/>
      <c r="H13" s="674"/>
      <c r="I13" s="674"/>
      <c r="J13" s="674"/>
      <c r="K13" s="674"/>
      <c r="L13" s="674"/>
      <c r="M13" s="674"/>
      <c r="N13" s="674"/>
    </row>
    <row r="14" spans="2:14" x14ac:dyDescent="0.25">
      <c r="B14" s="679" t="s">
        <v>70</v>
      </c>
      <c r="C14" s="679"/>
      <c r="D14" s="680" t="s">
        <v>73</v>
      </c>
      <c r="F14" s="69"/>
      <c r="G14" s="69"/>
      <c r="H14" s="69"/>
      <c r="I14" s="69"/>
      <c r="J14" s="69"/>
      <c r="K14" s="69"/>
      <c r="L14" s="69"/>
      <c r="M14" s="69"/>
      <c r="N14" s="69"/>
    </row>
    <row r="15" spans="2:14" x14ac:dyDescent="0.25">
      <c r="B15" s="602" t="s">
        <v>290</v>
      </c>
      <c r="C15" s="602"/>
      <c r="D15" s="603">
        <v>16815000</v>
      </c>
      <c r="F15" s="686"/>
      <c r="G15" s="686"/>
      <c r="H15" s="686"/>
      <c r="I15" s="686"/>
      <c r="J15" s="686"/>
      <c r="K15" s="686"/>
      <c r="L15" s="686"/>
      <c r="M15" s="686"/>
      <c r="N15" s="686"/>
    </row>
    <row r="16" spans="2:14" x14ac:dyDescent="0.25">
      <c r="B16" s="679" t="s">
        <v>70</v>
      </c>
      <c r="C16" s="679"/>
      <c r="D16" s="680" t="s">
        <v>73</v>
      </c>
      <c r="F16" s="687" t="s">
        <v>75</v>
      </c>
      <c r="G16" s="687"/>
      <c r="H16" s="687" t="s">
        <v>76</v>
      </c>
      <c r="I16" s="687"/>
      <c r="J16" s="687" t="s">
        <v>77</v>
      </c>
      <c r="K16" s="687"/>
      <c r="L16" s="687" t="s">
        <v>78</v>
      </c>
      <c r="M16" s="687"/>
      <c r="N16" s="687" t="s">
        <v>79</v>
      </c>
    </row>
    <row r="17" spans="2:14" x14ac:dyDescent="0.25">
      <c r="B17" s="677" t="s">
        <v>291</v>
      </c>
      <c r="C17" s="677"/>
      <c r="D17" s="681" t="s">
        <v>73</v>
      </c>
      <c r="F17" s="688"/>
      <c r="G17" s="688"/>
      <c r="H17" s="688"/>
      <c r="I17" s="688"/>
      <c r="J17" s="688"/>
      <c r="K17" s="688"/>
      <c r="L17" s="688"/>
      <c r="M17" s="688"/>
      <c r="N17" s="688"/>
    </row>
    <row r="18" spans="2:14" x14ac:dyDescent="0.25">
      <c r="B18" s="682" t="s">
        <v>292</v>
      </c>
      <c r="C18" s="682"/>
      <c r="D18" s="684">
        <v>300000</v>
      </c>
      <c r="F18" s="688"/>
      <c r="G18" s="688"/>
      <c r="H18" s="688"/>
      <c r="I18" s="688"/>
      <c r="J18" s="688"/>
      <c r="K18" s="688"/>
      <c r="L18" s="688"/>
      <c r="M18" s="688"/>
      <c r="N18" s="688"/>
    </row>
    <row r="19" spans="2:14" x14ac:dyDescent="0.25">
      <c r="B19" s="682" t="s">
        <v>396</v>
      </c>
      <c r="C19" s="682"/>
      <c r="D19" s="684">
        <v>16515000</v>
      </c>
      <c r="F19" s="689">
        <v>44880</v>
      </c>
      <c r="G19" s="689"/>
      <c r="H19" s="690">
        <v>0</v>
      </c>
      <c r="I19" s="690"/>
      <c r="J19" s="691">
        <v>0</v>
      </c>
      <c r="K19" s="691"/>
      <c r="L19" s="690">
        <v>0</v>
      </c>
      <c r="M19" s="690"/>
      <c r="N19" s="690">
        <v>0</v>
      </c>
    </row>
    <row r="20" spans="2:14" x14ac:dyDescent="0.25">
      <c r="B20" s="679" t="s">
        <v>70</v>
      </c>
      <c r="C20" s="679"/>
      <c r="D20" s="680" t="s">
        <v>73</v>
      </c>
      <c r="F20" s="689">
        <v>45245</v>
      </c>
      <c r="G20" s="689"/>
      <c r="H20" s="690">
        <v>0</v>
      </c>
      <c r="I20" s="690"/>
      <c r="J20" s="691">
        <v>0</v>
      </c>
      <c r="K20" s="691"/>
      <c r="L20" s="690">
        <v>0</v>
      </c>
      <c r="M20" s="690"/>
      <c r="N20" s="690">
        <v>0</v>
      </c>
    </row>
    <row r="21" spans="2:14" x14ac:dyDescent="0.25">
      <c r="B21" s="602" t="s">
        <v>293</v>
      </c>
      <c r="C21" s="602"/>
      <c r="D21" s="603">
        <v>16815000</v>
      </c>
      <c r="F21" s="689">
        <v>45611</v>
      </c>
      <c r="G21" s="689"/>
      <c r="H21" s="690">
        <v>16815000</v>
      </c>
      <c r="I21" s="690"/>
      <c r="J21" s="691">
        <v>3</v>
      </c>
      <c r="K21" s="691"/>
      <c r="L21" s="690">
        <v>1014505</v>
      </c>
      <c r="M21" s="690"/>
      <c r="N21" s="690">
        <v>17829505</v>
      </c>
    </row>
    <row r="22" spans="2:14" x14ac:dyDescent="0.25">
      <c r="B22" s="602"/>
      <c r="C22" s="602"/>
      <c r="D22" s="603"/>
      <c r="F22" s="688"/>
      <c r="G22" s="688"/>
      <c r="H22" s="688"/>
      <c r="I22" s="688"/>
      <c r="J22" s="688"/>
      <c r="K22" s="688"/>
      <c r="L22" s="688"/>
      <c r="M22" s="688"/>
      <c r="N22" s="688"/>
    </row>
    <row r="23" spans="2:14" x14ac:dyDescent="0.25">
      <c r="F23" s="688"/>
      <c r="G23" s="688"/>
      <c r="H23" s="688"/>
      <c r="I23" s="688"/>
      <c r="J23" s="688"/>
      <c r="K23" s="688"/>
      <c r="L23" s="688"/>
      <c r="M23" s="688"/>
      <c r="N23" s="688"/>
    </row>
    <row r="24" spans="2:14" x14ac:dyDescent="0.25">
      <c r="F24" s="692">
        <v>0</v>
      </c>
      <c r="G24" s="692"/>
      <c r="H24" s="694">
        <v>16815000</v>
      </c>
      <c r="I24" s="694"/>
      <c r="J24" s="693">
        <v>0</v>
      </c>
      <c r="K24" s="693"/>
      <c r="L24" s="694">
        <v>1014505</v>
      </c>
      <c r="M24" s="694"/>
      <c r="N24" s="694">
        <v>17829505</v>
      </c>
    </row>
    <row r="25" spans="2:14" x14ac:dyDescent="0.25">
      <c r="F25" s="69"/>
      <c r="G25" s="69"/>
      <c r="H25" s="69"/>
      <c r="I25" s="69"/>
      <c r="J25" s="69"/>
      <c r="K25" s="69"/>
      <c r="L25" s="69"/>
      <c r="M25" s="69"/>
      <c r="N25" s="69"/>
    </row>
    <row r="26" spans="2:14" x14ac:dyDescent="0.25">
      <c r="F26" s="69"/>
      <c r="G26" s="69"/>
      <c r="H26" s="69"/>
      <c r="I26" s="69"/>
      <c r="J26" s="69"/>
      <c r="K26" s="69"/>
      <c r="L26" s="69"/>
      <c r="M26" s="69"/>
      <c r="N26" s="69"/>
    </row>
    <row r="27" spans="2:14" x14ac:dyDescent="0.25">
      <c r="F27" s="677" t="s">
        <v>80</v>
      </c>
      <c r="G27" s="677"/>
      <c r="H27" s="695"/>
      <c r="I27" s="695"/>
      <c r="J27" s="695"/>
      <c r="K27" s="695"/>
      <c r="L27" s="695"/>
      <c r="M27" s="695"/>
      <c r="N27" s="678" t="s">
        <v>73</v>
      </c>
    </row>
    <row r="28" spans="2:14" x14ac:dyDescent="0.25">
      <c r="F28" s="679" t="s">
        <v>70</v>
      </c>
      <c r="G28" s="679"/>
      <c r="H28" s="69"/>
      <c r="I28" s="69"/>
      <c r="J28" s="69"/>
      <c r="K28" s="69"/>
      <c r="L28" s="69"/>
      <c r="M28" s="69"/>
      <c r="N28" s="685" t="s">
        <v>73</v>
      </c>
    </row>
    <row r="29" spans="2:14" x14ac:dyDescent="0.25">
      <c r="F29" s="682" t="s">
        <v>81</v>
      </c>
      <c r="G29" s="682"/>
      <c r="H29" s="688"/>
      <c r="I29" s="688"/>
      <c r="J29" s="688"/>
      <c r="K29" s="688"/>
      <c r="L29" s="688"/>
      <c r="M29" s="688"/>
      <c r="N29" s="683">
        <v>33816.833333333299</v>
      </c>
    </row>
    <row r="30" spans="2:14" x14ac:dyDescent="0.25">
      <c r="F30" s="682" t="s">
        <v>82</v>
      </c>
      <c r="G30" s="682"/>
      <c r="H30" s="688"/>
      <c r="I30" s="688"/>
      <c r="J30" s="688"/>
      <c r="K30" s="688"/>
      <c r="L30" s="688"/>
      <c r="M30" s="688"/>
      <c r="N30" s="696">
        <v>2.0111111111111102</v>
      </c>
    </row>
    <row r="31" spans="2:14" x14ac:dyDescent="0.25">
      <c r="F31" s="682" t="s">
        <v>83</v>
      </c>
      <c r="G31" s="682"/>
      <c r="H31" s="688"/>
      <c r="I31" s="688"/>
      <c r="J31" s="688"/>
      <c r="K31" s="688"/>
      <c r="L31" s="688"/>
      <c r="M31" s="688"/>
      <c r="N31" s="697">
        <v>3</v>
      </c>
    </row>
    <row r="32" spans="2:14" x14ac:dyDescent="0.25">
      <c r="F32" s="679" t="s">
        <v>70</v>
      </c>
      <c r="G32" s="679"/>
      <c r="H32" s="69"/>
      <c r="I32" s="69"/>
      <c r="J32" s="69"/>
      <c r="K32" s="69"/>
      <c r="L32" s="69"/>
      <c r="M32" s="69"/>
      <c r="N32" s="680" t="s">
        <v>73</v>
      </c>
    </row>
    <row r="33" spans="6:14" x14ac:dyDescent="0.25">
      <c r="F33" s="682" t="s">
        <v>84</v>
      </c>
      <c r="G33" s="682"/>
      <c r="H33" s="688"/>
      <c r="I33" s="688"/>
      <c r="J33" s="688"/>
      <c r="K33" s="688"/>
      <c r="L33" s="688"/>
      <c r="M33" s="688"/>
      <c r="N33" s="697">
        <v>3</v>
      </c>
    </row>
    <row r="34" spans="6:14" x14ac:dyDescent="0.25">
      <c r="F34" s="682" t="s">
        <v>85</v>
      </c>
      <c r="G34" s="682"/>
      <c r="H34" s="688"/>
      <c r="I34" s="688"/>
      <c r="J34" s="688"/>
      <c r="K34" s="688"/>
      <c r="L34" s="688"/>
      <c r="M34" s="688"/>
      <c r="N34" s="697">
        <v>2.9343000080822699</v>
      </c>
    </row>
    <row r="35" spans="6:14" x14ac:dyDescent="0.25">
      <c r="F35" s="682" t="s">
        <v>86</v>
      </c>
      <c r="G35" s="682"/>
      <c r="H35" s="688"/>
      <c r="I35" s="688"/>
      <c r="J35" s="688"/>
      <c r="K35" s="688"/>
      <c r="L35" s="688"/>
      <c r="M35" s="688"/>
      <c r="N35" s="697">
        <v>2.9343000080822699</v>
      </c>
    </row>
    <row r="36" spans="6:14" x14ac:dyDescent="0.25">
      <c r="F36" s="682" t="s">
        <v>87</v>
      </c>
      <c r="G36" s="682"/>
      <c r="H36" s="688"/>
      <c r="I36" s="688"/>
      <c r="J36" s="688"/>
      <c r="K36" s="688"/>
      <c r="L36" s="688"/>
      <c r="M36" s="688"/>
      <c r="N36" s="697">
        <v>3.8446100050915</v>
      </c>
    </row>
    <row r="37" spans="6:14" x14ac:dyDescent="0.25">
      <c r="F37" s="679" t="s">
        <v>70</v>
      </c>
      <c r="G37" s="679"/>
      <c r="H37" s="69"/>
      <c r="I37" s="69"/>
      <c r="J37" s="69"/>
      <c r="K37" s="69"/>
      <c r="L37" s="69"/>
      <c r="M37" s="69"/>
      <c r="N37" s="680" t="s">
        <v>73</v>
      </c>
    </row>
    <row r="38" spans="6:14" x14ac:dyDescent="0.25">
      <c r="F38" s="677" t="s">
        <v>88</v>
      </c>
      <c r="G38" s="677"/>
      <c r="H38" s="695"/>
      <c r="I38" s="695"/>
      <c r="J38" s="695"/>
      <c r="K38" s="695"/>
      <c r="L38" s="695"/>
      <c r="M38" s="695"/>
      <c r="N38" s="681" t="s">
        <v>73</v>
      </c>
    </row>
    <row r="39" spans="6:14" x14ac:dyDescent="0.25">
      <c r="F39" s="682" t="s">
        <v>89</v>
      </c>
      <c r="G39" s="682"/>
      <c r="H39" s="688"/>
      <c r="I39" s="688"/>
      <c r="J39" s="688"/>
      <c r="K39" s="688"/>
      <c r="L39" s="688"/>
      <c r="M39" s="688"/>
      <c r="N39" s="697">
        <v>3</v>
      </c>
    </row>
    <row r="40" spans="6:14" x14ac:dyDescent="0.25">
      <c r="F40" s="682" t="s">
        <v>90</v>
      </c>
      <c r="G40" s="682"/>
      <c r="H40" s="688"/>
      <c r="I40" s="688"/>
      <c r="J40" s="688"/>
      <c r="K40" s="688"/>
      <c r="L40" s="688"/>
      <c r="M40" s="688"/>
      <c r="N40" s="696">
        <v>2.0111111111111102</v>
      </c>
    </row>
  </sheetData>
  <sheetProtection algorithmName="SHA-512" hashValue="1wNajF5/AtvecmHZkm/7lXwKrE1Zw2d7ec1u8bpzBSfpGUj07dWazJjR5E0PWMf9GxJiy56HOvOyTjLgXwhn5Q==" saltValue="VOELSt+VbmKmBYvB+a6I6w=="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9DCF0-3805-4DFE-A807-4871923BFC9C}">
  <sheetPr codeName="Sheet13">
    <tabColor rgb="FF0070C0"/>
  </sheetPr>
  <dimension ref="B2:N78"/>
  <sheetViews>
    <sheetView tabSelected="1" topLeftCell="E10" workbookViewId="0">
      <selection activeCell="M32" sqref="M32"/>
    </sheetView>
  </sheetViews>
  <sheetFormatPr defaultColWidth="9.1796875" defaultRowHeight="12.5" x14ac:dyDescent="0.25"/>
  <cols>
    <col min="1" max="1" width="9.1796875" style="2"/>
    <col min="2" max="2" width="62.1796875" style="2" bestFit="1" customWidth="1"/>
    <col min="3" max="3" width="9.1796875" style="2"/>
    <col min="4" max="4" width="11.7265625" style="2" bestFit="1" customWidth="1"/>
    <col min="5" max="9" width="9.1796875" style="2"/>
    <col min="10" max="10" width="9.54296875" style="2" bestFit="1" customWidth="1"/>
    <col min="11" max="13" width="9.1796875" style="2"/>
    <col min="14" max="14" width="9.81640625" style="2" bestFit="1" customWidth="1"/>
    <col min="15" max="16384" width="9.1796875" style="2"/>
  </cols>
  <sheetData>
    <row r="2" spans="2:14" ht="15" x14ac:dyDescent="0.3">
      <c r="B2" s="617" t="s">
        <v>71</v>
      </c>
      <c r="C2" s="617"/>
      <c r="D2" s="617"/>
    </row>
    <row r="3" spans="2:14" ht="15.5" x14ac:dyDescent="0.35">
      <c r="B3" s="618" t="s">
        <v>537</v>
      </c>
      <c r="C3" s="618"/>
      <c r="D3" s="618"/>
    </row>
    <row r="4" spans="2:14" ht="15.5" x14ac:dyDescent="0.35">
      <c r="B4" s="618" t="s">
        <v>72</v>
      </c>
      <c r="C4" s="618"/>
      <c r="D4" s="618"/>
    </row>
    <row r="5" spans="2:14" ht="15.5" x14ac:dyDescent="0.35">
      <c r="B5" s="618" t="s">
        <v>538</v>
      </c>
      <c r="C5" s="618"/>
      <c r="D5" s="618"/>
    </row>
    <row r="6" spans="2:14" ht="15.5" x14ac:dyDescent="0.35">
      <c r="B6" s="618" t="s">
        <v>73</v>
      </c>
      <c r="C6" s="618"/>
      <c r="D6" s="618"/>
    </row>
    <row r="7" spans="2:14" ht="20" x14ac:dyDescent="0.4">
      <c r="B7" s="619" t="s">
        <v>287</v>
      </c>
      <c r="C7" s="619"/>
      <c r="D7" s="620"/>
      <c r="F7" s="617" t="s">
        <v>71</v>
      </c>
      <c r="G7" s="617"/>
      <c r="H7" s="617"/>
      <c r="I7" s="617"/>
      <c r="J7" s="617"/>
      <c r="K7" s="617"/>
      <c r="L7" s="617"/>
      <c r="M7" s="617"/>
      <c r="N7" s="617"/>
    </row>
    <row r="8" spans="2:14" ht="20" x14ac:dyDescent="0.4">
      <c r="B8" s="619"/>
      <c r="C8" s="619"/>
      <c r="D8" s="619"/>
      <c r="F8" s="618" t="s">
        <v>537</v>
      </c>
      <c r="G8" s="618"/>
      <c r="H8" s="618"/>
      <c r="I8" s="618"/>
      <c r="J8" s="618"/>
      <c r="K8" s="618"/>
      <c r="L8" s="618"/>
      <c r="M8" s="618"/>
      <c r="N8" s="618"/>
    </row>
    <row r="9" spans="2:14" ht="15.5" x14ac:dyDescent="0.35">
      <c r="B9" s="621" t="s">
        <v>539</v>
      </c>
      <c r="C9" s="621"/>
      <c r="D9" s="43"/>
      <c r="F9" s="618" t="s">
        <v>72</v>
      </c>
      <c r="G9" s="618"/>
      <c r="H9" s="618"/>
      <c r="I9" s="618"/>
      <c r="J9" s="618"/>
      <c r="K9" s="618"/>
      <c r="L9" s="618"/>
      <c r="M9" s="618"/>
      <c r="N9" s="618"/>
    </row>
    <row r="10" spans="2:14" ht="15.5" x14ac:dyDescent="0.35">
      <c r="B10"/>
      <c r="C10"/>
      <c r="D10"/>
      <c r="F10" s="618" t="s">
        <v>538</v>
      </c>
      <c r="G10" s="618"/>
      <c r="H10" s="618"/>
      <c r="I10" s="618"/>
      <c r="J10" s="618"/>
      <c r="K10" s="618"/>
      <c r="L10" s="618"/>
      <c r="M10" s="618"/>
      <c r="N10" s="618"/>
    </row>
    <row r="11" spans="2:14" ht="15.5" x14ac:dyDescent="0.35">
      <c r="B11"/>
      <c r="C11"/>
      <c r="D11"/>
      <c r="F11" s="618" t="s">
        <v>73</v>
      </c>
      <c r="G11" s="618"/>
      <c r="H11" s="618"/>
      <c r="I11" s="618"/>
      <c r="J11" s="618"/>
      <c r="K11" s="618"/>
      <c r="L11" s="618"/>
      <c r="M11" s="618"/>
      <c r="N11" s="618"/>
    </row>
    <row r="12" spans="2:14" ht="20" x14ac:dyDescent="0.4">
      <c r="B12" s="622" t="s">
        <v>288</v>
      </c>
      <c r="C12" s="622"/>
      <c r="D12" s="623" t="s">
        <v>73</v>
      </c>
      <c r="F12" s="619" t="s">
        <v>74</v>
      </c>
      <c r="G12" s="619"/>
      <c r="H12" s="619"/>
      <c r="I12" s="619"/>
      <c r="J12" s="619"/>
      <c r="K12" s="619"/>
      <c r="L12" s="619"/>
      <c r="M12" s="619"/>
      <c r="N12" s="620"/>
    </row>
    <row r="13" spans="2:14" ht="20" x14ac:dyDescent="0.4">
      <c r="B13" s="624" t="s">
        <v>289</v>
      </c>
      <c r="C13" s="624"/>
      <c r="D13" s="625">
        <v>18130000</v>
      </c>
      <c r="F13" s="619"/>
      <c r="G13" s="619"/>
      <c r="H13" s="619"/>
      <c r="I13" s="619"/>
      <c r="J13" s="619"/>
      <c r="K13" s="619"/>
      <c r="L13" s="619"/>
      <c r="M13" s="619"/>
      <c r="N13" s="619"/>
    </row>
    <row r="14" spans="2:14" x14ac:dyDescent="0.25">
      <c r="B14" s="626" t="s">
        <v>70</v>
      </c>
      <c r="C14" s="626"/>
      <c r="D14" s="627" t="s">
        <v>73</v>
      </c>
      <c r="F14"/>
      <c r="G14"/>
      <c r="H14"/>
      <c r="I14"/>
      <c r="J14"/>
      <c r="K14"/>
      <c r="L14"/>
      <c r="M14"/>
      <c r="N14"/>
    </row>
    <row r="15" spans="2:14" x14ac:dyDescent="0.25">
      <c r="B15" s="628" t="s">
        <v>290</v>
      </c>
      <c r="C15" s="628"/>
      <c r="D15" s="629">
        <v>18130000</v>
      </c>
      <c r="F15" s="632"/>
      <c r="G15" s="632"/>
      <c r="H15" s="632"/>
      <c r="I15" s="632"/>
      <c r="J15" s="632"/>
      <c r="K15" s="632"/>
      <c r="L15" s="632"/>
      <c r="M15" s="632"/>
      <c r="N15" s="632"/>
    </row>
    <row r="16" spans="2:14" x14ac:dyDescent="0.25">
      <c r="B16" s="626" t="s">
        <v>70</v>
      </c>
      <c r="C16" s="626"/>
      <c r="D16" s="627" t="s">
        <v>73</v>
      </c>
      <c r="F16" s="633" t="s">
        <v>75</v>
      </c>
      <c r="G16" s="633"/>
      <c r="H16" s="633" t="s">
        <v>76</v>
      </c>
      <c r="I16" s="633"/>
      <c r="J16" s="633" t="s">
        <v>77</v>
      </c>
      <c r="K16" s="633"/>
      <c r="L16" s="633" t="s">
        <v>78</v>
      </c>
      <c r="M16" s="633"/>
      <c r="N16" s="633" t="s">
        <v>79</v>
      </c>
    </row>
    <row r="17" spans="2:14" x14ac:dyDescent="0.25">
      <c r="B17" s="622" t="s">
        <v>291</v>
      </c>
      <c r="C17" s="622"/>
      <c r="D17" s="630" t="s">
        <v>73</v>
      </c>
      <c r="F17" s="634"/>
      <c r="G17" s="634"/>
      <c r="H17" s="634"/>
      <c r="I17" s="634"/>
      <c r="J17" s="634"/>
      <c r="K17" s="634"/>
      <c r="L17" s="634"/>
      <c r="M17" s="634"/>
      <c r="N17" s="634"/>
    </row>
    <row r="18" spans="2:14" x14ac:dyDescent="0.25">
      <c r="B18" s="624" t="s">
        <v>292</v>
      </c>
      <c r="C18" s="624"/>
      <c r="D18" s="631">
        <v>300000</v>
      </c>
      <c r="F18" s="634"/>
      <c r="G18" s="634"/>
      <c r="H18" s="634"/>
      <c r="I18" s="634"/>
      <c r="J18" s="634"/>
      <c r="K18" s="634"/>
      <c r="L18" s="634"/>
      <c r="M18" s="634"/>
      <c r="N18" s="634"/>
    </row>
    <row r="19" spans="2:14" x14ac:dyDescent="0.25">
      <c r="B19" s="624" t="s">
        <v>396</v>
      </c>
      <c r="C19" s="624"/>
      <c r="D19" s="631">
        <v>17830000</v>
      </c>
      <c r="F19" s="635">
        <v>45611</v>
      </c>
      <c r="G19" s="635"/>
      <c r="H19" s="636">
        <v>0</v>
      </c>
      <c r="I19" s="636"/>
      <c r="J19" s="637">
        <v>0</v>
      </c>
      <c r="K19" s="637"/>
      <c r="L19" s="636">
        <v>0</v>
      </c>
      <c r="M19" s="636"/>
      <c r="N19" s="636">
        <v>0</v>
      </c>
    </row>
    <row r="20" spans="2:14" x14ac:dyDescent="0.25">
      <c r="B20" s="626" t="s">
        <v>70</v>
      </c>
      <c r="C20" s="626"/>
      <c r="D20" s="627" t="s">
        <v>73</v>
      </c>
      <c r="F20" s="635">
        <v>45976</v>
      </c>
      <c r="G20" s="635"/>
      <c r="H20" s="636">
        <v>260000</v>
      </c>
      <c r="I20" s="636"/>
      <c r="J20" s="637">
        <v>2.625</v>
      </c>
      <c r="K20" s="637"/>
      <c r="L20" s="636">
        <v>475912.5</v>
      </c>
      <c r="M20" s="636"/>
      <c r="N20" s="636">
        <v>735912.5</v>
      </c>
    </row>
    <row r="21" spans="2:14" x14ac:dyDescent="0.25">
      <c r="B21" s="628" t="s">
        <v>293</v>
      </c>
      <c r="C21" s="628"/>
      <c r="D21" s="629">
        <v>18130000</v>
      </c>
      <c r="F21" s="635">
        <v>46341</v>
      </c>
      <c r="G21" s="635"/>
      <c r="H21" s="636">
        <v>270000</v>
      </c>
      <c r="I21" s="636"/>
      <c r="J21" s="637">
        <v>2.625</v>
      </c>
      <c r="K21" s="637"/>
      <c r="L21" s="636">
        <v>469087.5</v>
      </c>
      <c r="M21" s="636"/>
      <c r="N21" s="636">
        <v>739087.5</v>
      </c>
    </row>
    <row r="22" spans="2:14" x14ac:dyDescent="0.25">
      <c r="C22" s="627"/>
      <c r="F22" s="635">
        <v>46706</v>
      </c>
      <c r="G22" s="635"/>
      <c r="H22" s="636">
        <v>275000</v>
      </c>
      <c r="I22" s="636"/>
      <c r="J22" s="637">
        <v>2.625</v>
      </c>
      <c r="K22" s="637"/>
      <c r="L22" s="636">
        <v>462000</v>
      </c>
      <c r="M22" s="636"/>
      <c r="N22" s="636">
        <v>737000</v>
      </c>
    </row>
    <row r="23" spans="2:14" x14ac:dyDescent="0.25">
      <c r="B23" s="628"/>
      <c r="D23" s="629"/>
      <c r="F23" s="635">
        <v>47072</v>
      </c>
      <c r="G23" s="635"/>
      <c r="H23" s="636">
        <v>285000</v>
      </c>
      <c r="I23" s="636"/>
      <c r="J23" s="637">
        <v>2.625</v>
      </c>
      <c r="K23" s="637"/>
      <c r="L23" s="636">
        <v>454781.26</v>
      </c>
      <c r="M23" s="636"/>
      <c r="N23" s="636">
        <v>739781.26</v>
      </c>
    </row>
    <row r="24" spans="2:14" x14ac:dyDescent="0.25">
      <c r="F24" s="635">
        <v>47437</v>
      </c>
      <c r="G24" s="635"/>
      <c r="H24" s="636">
        <v>290000</v>
      </c>
      <c r="I24" s="636"/>
      <c r="J24" s="637">
        <v>2.625</v>
      </c>
      <c r="K24" s="637"/>
      <c r="L24" s="636">
        <v>447300</v>
      </c>
      <c r="M24" s="636"/>
      <c r="N24" s="636">
        <v>737300</v>
      </c>
    </row>
    <row r="25" spans="2:14" x14ac:dyDescent="0.25">
      <c r="F25" s="635">
        <v>47802</v>
      </c>
      <c r="G25" s="635"/>
      <c r="H25" s="636">
        <v>300000</v>
      </c>
      <c r="I25" s="636"/>
      <c r="J25" s="637">
        <v>2.625</v>
      </c>
      <c r="K25" s="637"/>
      <c r="L25" s="636">
        <v>439687.5</v>
      </c>
      <c r="M25" s="636"/>
      <c r="N25" s="636">
        <v>739687.5</v>
      </c>
    </row>
    <row r="26" spans="2:14" x14ac:dyDescent="0.25">
      <c r="F26" s="635">
        <v>48167</v>
      </c>
      <c r="G26" s="635"/>
      <c r="H26" s="636">
        <v>305000</v>
      </c>
      <c r="I26" s="636"/>
      <c r="J26" s="637">
        <v>2.625</v>
      </c>
      <c r="K26" s="637"/>
      <c r="L26" s="636">
        <v>431812.5</v>
      </c>
      <c r="M26" s="636"/>
      <c r="N26" s="636">
        <v>736812.5</v>
      </c>
    </row>
    <row r="27" spans="2:14" x14ac:dyDescent="0.25">
      <c r="F27" s="635">
        <v>48533</v>
      </c>
      <c r="G27" s="635"/>
      <c r="H27" s="636">
        <v>315000</v>
      </c>
      <c r="I27" s="636"/>
      <c r="J27" s="637">
        <v>2.625</v>
      </c>
      <c r="K27" s="637"/>
      <c r="L27" s="636">
        <v>423806.26</v>
      </c>
      <c r="M27" s="636"/>
      <c r="N27" s="636">
        <v>738806.26</v>
      </c>
    </row>
    <row r="28" spans="2:14" x14ac:dyDescent="0.25">
      <c r="F28" s="635">
        <v>48898</v>
      </c>
      <c r="G28" s="635"/>
      <c r="H28" s="636">
        <v>320000</v>
      </c>
      <c r="I28" s="636"/>
      <c r="J28" s="637">
        <v>2.625</v>
      </c>
      <c r="K28" s="637"/>
      <c r="L28" s="636">
        <v>415537.5</v>
      </c>
      <c r="M28" s="636"/>
      <c r="N28" s="636">
        <v>735537.5</v>
      </c>
    </row>
    <row r="29" spans="2:14" x14ac:dyDescent="0.25">
      <c r="F29" s="635">
        <v>49263</v>
      </c>
      <c r="G29" s="635"/>
      <c r="H29" s="636">
        <v>330000</v>
      </c>
      <c r="I29" s="636"/>
      <c r="J29" s="637">
        <v>2.625</v>
      </c>
      <c r="K29" s="637"/>
      <c r="L29" s="636">
        <v>407137.5</v>
      </c>
      <c r="M29" s="636"/>
      <c r="N29" s="636">
        <v>737137.5</v>
      </c>
    </row>
    <row r="30" spans="2:14" x14ac:dyDescent="0.25">
      <c r="F30" s="635">
        <v>49628</v>
      </c>
      <c r="G30" s="635"/>
      <c r="H30" s="636">
        <v>340000</v>
      </c>
      <c r="I30" s="636"/>
      <c r="J30" s="637">
        <v>2.625</v>
      </c>
      <c r="K30" s="637"/>
      <c r="L30" s="636">
        <v>398475</v>
      </c>
      <c r="M30" s="636"/>
      <c r="N30" s="636">
        <v>738475</v>
      </c>
    </row>
    <row r="31" spans="2:14" x14ac:dyDescent="0.25">
      <c r="F31" s="635">
        <v>49994</v>
      </c>
      <c r="G31" s="635"/>
      <c r="H31" s="636">
        <v>350000</v>
      </c>
      <c r="I31" s="636"/>
      <c r="J31" s="637">
        <v>2.625</v>
      </c>
      <c r="K31" s="637"/>
      <c r="L31" s="636">
        <v>389550</v>
      </c>
      <c r="M31" s="636"/>
      <c r="N31" s="636">
        <v>739550</v>
      </c>
    </row>
    <row r="32" spans="2:14" x14ac:dyDescent="0.25">
      <c r="F32" s="635">
        <v>50359</v>
      </c>
      <c r="G32" s="635"/>
      <c r="H32" s="636">
        <v>355000</v>
      </c>
      <c r="I32" s="636"/>
      <c r="J32" s="637">
        <v>2.625</v>
      </c>
      <c r="K32" s="637"/>
      <c r="L32" s="636">
        <v>380362.5</v>
      </c>
      <c r="M32" s="636"/>
      <c r="N32" s="636">
        <v>735362.5</v>
      </c>
    </row>
    <row r="33" spans="6:14" x14ac:dyDescent="0.25">
      <c r="F33" s="635">
        <v>50724</v>
      </c>
      <c r="G33" s="635"/>
      <c r="H33" s="636">
        <v>365000</v>
      </c>
      <c r="I33" s="636"/>
      <c r="J33" s="637">
        <v>2.625</v>
      </c>
      <c r="K33" s="637"/>
      <c r="L33" s="636">
        <v>371043.76</v>
      </c>
      <c r="M33" s="636"/>
      <c r="N33" s="636">
        <v>736043.76</v>
      </c>
    </row>
    <row r="34" spans="6:14" x14ac:dyDescent="0.25">
      <c r="F34" s="635">
        <v>51089</v>
      </c>
      <c r="G34" s="635"/>
      <c r="H34" s="636">
        <v>375000</v>
      </c>
      <c r="I34" s="636"/>
      <c r="J34" s="637">
        <v>2.625</v>
      </c>
      <c r="K34" s="637"/>
      <c r="L34" s="636">
        <v>361462.5</v>
      </c>
      <c r="M34" s="636"/>
      <c r="N34" s="636">
        <v>736462.5</v>
      </c>
    </row>
    <row r="35" spans="6:14" x14ac:dyDescent="0.25">
      <c r="F35" s="635">
        <v>51455</v>
      </c>
      <c r="G35" s="635"/>
      <c r="H35" s="636">
        <v>385000</v>
      </c>
      <c r="I35" s="636"/>
      <c r="J35" s="637">
        <v>2.625</v>
      </c>
      <c r="K35" s="637"/>
      <c r="L35" s="636">
        <v>351618.76</v>
      </c>
      <c r="M35" s="636"/>
      <c r="N35" s="636">
        <v>736618.76</v>
      </c>
    </row>
    <row r="36" spans="6:14" x14ac:dyDescent="0.25">
      <c r="F36" s="635">
        <v>51820</v>
      </c>
      <c r="G36" s="635"/>
      <c r="H36" s="636">
        <v>395000</v>
      </c>
      <c r="I36" s="636"/>
      <c r="J36" s="637">
        <v>2.625</v>
      </c>
      <c r="K36" s="637"/>
      <c r="L36" s="636">
        <v>341512.5</v>
      </c>
      <c r="M36" s="636"/>
      <c r="N36" s="636">
        <v>736512.5</v>
      </c>
    </row>
    <row r="37" spans="6:14" x14ac:dyDescent="0.25">
      <c r="F37" s="635">
        <v>52185</v>
      </c>
      <c r="G37" s="635"/>
      <c r="H37" s="636">
        <v>405000</v>
      </c>
      <c r="I37" s="636"/>
      <c r="J37" s="637">
        <v>2.625</v>
      </c>
      <c r="K37" s="637"/>
      <c r="L37" s="636">
        <v>331143.76</v>
      </c>
      <c r="M37" s="636"/>
      <c r="N37" s="636">
        <v>736143.76</v>
      </c>
    </row>
    <row r="38" spans="6:14" x14ac:dyDescent="0.25">
      <c r="F38" s="635">
        <v>52550</v>
      </c>
      <c r="G38" s="635"/>
      <c r="H38" s="636">
        <v>415000</v>
      </c>
      <c r="I38" s="636"/>
      <c r="J38" s="637">
        <v>2.625</v>
      </c>
      <c r="K38" s="637"/>
      <c r="L38" s="636">
        <v>320512.5</v>
      </c>
      <c r="M38" s="636"/>
      <c r="N38" s="636">
        <v>735512.5</v>
      </c>
    </row>
    <row r="39" spans="6:14" x14ac:dyDescent="0.25">
      <c r="F39" s="635">
        <v>52916</v>
      </c>
      <c r="G39" s="635"/>
      <c r="H39" s="636">
        <v>430000</v>
      </c>
      <c r="I39" s="636"/>
      <c r="J39" s="637">
        <v>2.625</v>
      </c>
      <c r="K39" s="637"/>
      <c r="L39" s="636">
        <v>309618.76</v>
      </c>
      <c r="M39" s="636"/>
      <c r="N39" s="636">
        <v>739618.76</v>
      </c>
    </row>
    <row r="40" spans="6:14" x14ac:dyDescent="0.25">
      <c r="F40" s="635">
        <v>53281</v>
      </c>
      <c r="G40" s="635"/>
      <c r="H40" s="636">
        <v>440000</v>
      </c>
      <c r="I40" s="636"/>
      <c r="J40" s="637">
        <v>2.625</v>
      </c>
      <c r="K40" s="637"/>
      <c r="L40" s="636">
        <v>298331.26</v>
      </c>
      <c r="M40" s="636"/>
      <c r="N40" s="636">
        <v>738331.26</v>
      </c>
    </row>
    <row r="41" spans="6:14" x14ac:dyDescent="0.25">
      <c r="F41" s="635">
        <v>53646</v>
      </c>
      <c r="G41" s="635"/>
      <c r="H41" s="636">
        <v>450000</v>
      </c>
      <c r="I41" s="636"/>
      <c r="J41" s="637">
        <v>2.625</v>
      </c>
      <c r="K41" s="637"/>
      <c r="L41" s="636">
        <v>286781.26</v>
      </c>
      <c r="M41" s="636"/>
      <c r="N41" s="636">
        <v>736781.26</v>
      </c>
    </row>
    <row r="42" spans="6:14" x14ac:dyDescent="0.25">
      <c r="F42" s="635">
        <v>54011</v>
      </c>
      <c r="G42" s="635"/>
      <c r="H42" s="636">
        <v>465000</v>
      </c>
      <c r="I42" s="636"/>
      <c r="J42" s="637">
        <v>2.625</v>
      </c>
      <c r="K42" s="637"/>
      <c r="L42" s="636">
        <v>274968.76</v>
      </c>
      <c r="M42" s="636"/>
      <c r="N42" s="636">
        <v>739968.76</v>
      </c>
    </row>
    <row r="43" spans="6:14" x14ac:dyDescent="0.25">
      <c r="F43" s="635">
        <v>54377</v>
      </c>
      <c r="G43" s="635"/>
      <c r="H43" s="636">
        <v>475000</v>
      </c>
      <c r="I43" s="636"/>
      <c r="J43" s="637">
        <v>2.625</v>
      </c>
      <c r="K43" s="637"/>
      <c r="L43" s="636">
        <v>262762.5</v>
      </c>
      <c r="M43" s="636"/>
      <c r="N43" s="636">
        <v>737762.5</v>
      </c>
    </row>
    <row r="44" spans="6:14" x14ac:dyDescent="0.25">
      <c r="F44" s="635">
        <v>54742</v>
      </c>
      <c r="G44" s="635"/>
      <c r="H44" s="636">
        <v>485000</v>
      </c>
      <c r="I44" s="636"/>
      <c r="J44" s="637">
        <v>2.625</v>
      </c>
      <c r="K44" s="637"/>
      <c r="L44" s="636">
        <v>250293.76000000001</v>
      </c>
      <c r="M44" s="636"/>
      <c r="N44" s="636">
        <v>735293.76</v>
      </c>
    </row>
    <row r="45" spans="6:14" x14ac:dyDescent="0.25">
      <c r="F45" s="635">
        <v>55107</v>
      </c>
      <c r="G45" s="635"/>
      <c r="H45" s="636">
        <v>500000</v>
      </c>
      <c r="I45" s="636"/>
      <c r="J45" s="637">
        <v>2.625</v>
      </c>
      <c r="K45" s="637"/>
      <c r="L45" s="636">
        <v>237562.5</v>
      </c>
      <c r="M45" s="636"/>
      <c r="N45" s="636">
        <v>737562.5</v>
      </c>
    </row>
    <row r="46" spans="6:14" x14ac:dyDescent="0.25">
      <c r="F46" s="635">
        <v>55472</v>
      </c>
      <c r="G46" s="635"/>
      <c r="H46" s="636">
        <v>515000</v>
      </c>
      <c r="I46" s="636"/>
      <c r="J46" s="637">
        <v>2.625</v>
      </c>
      <c r="K46" s="637"/>
      <c r="L46" s="636">
        <v>224437.5</v>
      </c>
      <c r="M46" s="636"/>
      <c r="N46" s="636">
        <v>739437.5</v>
      </c>
    </row>
    <row r="47" spans="6:14" x14ac:dyDescent="0.25">
      <c r="F47" s="635">
        <v>55838</v>
      </c>
      <c r="G47" s="635"/>
      <c r="H47" s="636">
        <v>525000</v>
      </c>
      <c r="I47" s="636"/>
      <c r="J47" s="637">
        <v>2.625</v>
      </c>
      <c r="K47" s="637"/>
      <c r="L47" s="636">
        <v>210918.76</v>
      </c>
      <c r="M47" s="636"/>
      <c r="N47" s="636">
        <v>735918.76</v>
      </c>
    </row>
    <row r="48" spans="6:14" x14ac:dyDescent="0.25">
      <c r="F48" s="635">
        <v>56203</v>
      </c>
      <c r="G48" s="635"/>
      <c r="H48" s="636">
        <v>540000</v>
      </c>
      <c r="I48" s="636"/>
      <c r="J48" s="637">
        <v>2.625</v>
      </c>
      <c r="K48" s="637"/>
      <c r="L48" s="636">
        <v>197137.5</v>
      </c>
      <c r="M48" s="636"/>
      <c r="N48" s="636">
        <v>737137.5</v>
      </c>
    </row>
    <row r="49" spans="6:14" x14ac:dyDescent="0.25">
      <c r="F49" s="635">
        <v>56568</v>
      </c>
      <c r="G49" s="635"/>
      <c r="H49" s="636">
        <v>555000</v>
      </c>
      <c r="I49" s="636"/>
      <c r="J49" s="637">
        <v>2.625</v>
      </c>
      <c r="K49" s="637"/>
      <c r="L49" s="636">
        <v>182962.5</v>
      </c>
      <c r="M49" s="636"/>
      <c r="N49" s="636">
        <v>737962.5</v>
      </c>
    </row>
    <row r="50" spans="6:14" x14ac:dyDescent="0.25">
      <c r="F50" s="635">
        <v>56933</v>
      </c>
      <c r="G50" s="635"/>
      <c r="H50" s="636">
        <v>570000</v>
      </c>
      <c r="I50" s="636"/>
      <c r="J50" s="637">
        <v>2.625</v>
      </c>
      <c r="K50" s="637"/>
      <c r="L50" s="636">
        <v>168393.76</v>
      </c>
      <c r="M50" s="636"/>
      <c r="N50" s="636">
        <v>738393.76</v>
      </c>
    </row>
    <row r="51" spans="6:14" x14ac:dyDescent="0.25">
      <c r="F51" s="635">
        <v>57299</v>
      </c>
      <c r="G51" s="635"/>
      <c r="H51" s="636">
        <v>585000</v>
      </c>
      <c r="I51" s="636"/>
      <c r="J51" s="637">
        <v>2.625</v>
      </c>
      <c r="K51" s="637"/>
      <c r="L51" s="636">
        <v>153431.26</v>
      </c>
      <c r="M51" s="636"/>
      <c r="N51" s="636">
        <v>738431.26</v>
      </c>
    </row>
    <row r="52" spans="6:14" x14ac:dyDescent="0.25">
      <c r="F52" s="635">
        <v>57664</v>
      </c>
      <c r="G52" s="635"/>
      <c r="H52" s="636">
        <v>600000</v>
      </c>
      <c r="I52" s="636"/>
      <c r="J52" s="637">
        <v>2.625</v>
      </c>
      <c r="K52" s="637"/>
      <c r="L52" s="636">
        <v>138075</v>
      </c>
      <c r="M52" s="636"/>
      <c r="N52" s="636">
        <v>738075</v>
      </c>
    </row>
    <row r="53" spans="6:14" x14ac:dyDescent="0.25">
      <c r="F53" s="635">
        <v>58029</v>
      </c>
      <c r="G53" s="635"/>
      <c r="H53" s="636">
        <v>615000</v>
      </c>
      <c r="I53" s="636"/>
      <c r="J53" s="637">
        <v>2.625</v>
      </c>
      <c r="K53" s="637"/>
      <c r="L53" s="636">
        <v>122325</v>
      </c>
      <c r="M53" s="636"/>
      <c r="N53" s="636">
        <v>737325</v>
      </c>
    </row>
    <row r="54" spans="6:14" x14ac:dyDescent="0.25">
      <c r="F54" s="635">
        <v>58394</v>
      </c>
      <c r="G54" s="635"/>
      <c r="H54" s="636">
        <v>630000</v>
      </c>
      <c r="I54" s="636"/>
      <c r="J54" s="637">
        <v>2.625</v>
      </c>
      <c r="K54" s="637"/>
      <c r="L54" s="636">
        <v>106181.26</v>
      </c>
      <c r="M54" s="636"/>
      <c r="N54" s="636">
        <v>736181.26</v>
      </c>
    </row>
    <row r="55" spans="6:14" x14ac:dyDescent="0.25">
      <c r="F55" s="635">
        <v>58760</v>
      </c>
      <c r="G55" s="635"/>
      <c r="H55" s="636">
        <v>650000</v>
      </c>
      <c r="I55" s="636"/>
      <c r="J55" s="637">
        <v>2.625</v>
      </c>
      <c r="K55" s="637"/>
      <c r="L55" s="636">
        <v>89643.76</v>
      </c>
      <c r="M55" s="636"/>
      <c r="N55" s="636">
        <v>739643.76</v>
      </c>
    </row>
    <row r="56" spans="6:14" x14ac:dyDescent="0.25">
      <c r="F56" s="635">
        <v>59125</v>
      </c>
      <c r="G56" s="635"/>
      <c r="H56" s="636">
        <v>665000</v>
      </c>
      <c r="I56" s="636"/>
      <c r="J56" s="637">
        <v>2.625</v>
      </c>
      <c r="K56" s="637"/>
      <c r="L56" s="636">
        <v>72581.259999999995</v>
      </c>
      <c r="M56" s="636"/>
      <c r="N56" s="636">
        <v>737581.26</v>
      </c>
    </row>
    <row r="57" spans="6:14" x14ac:dyDescent="0.25">
      <c r="F57" s="635">
        <v>59490</v>
      </c>
      <c r="G57" s="635"/>
      <c r="H57" s="636">
        <v>680000</v>
      </c>
      <c r="I57" s="636"/>
      <c r="J57" s="637">
        <v>2.625</v>
      </c>
      <c r="K57" s="637"/>
      <c r="L57" s="636">
        <v>55125</v>
      </c>
      <c r="M57" s="636"/>
      <c r="N57" s="636">
        <v>735125</v>
      </c>
    </row>
    <row r="58" spans="6:14" x14ac:dyDescent="0.25">
      <c r="F58" s="635">
        <v>59855</v>
      </c>
      <c r="G58" s="635"/>
      <c r="H58" s="636">
        <v>700000</v>
      </c>
      <c r="I58" s="636"/>
      <c r="J58" s="637">
        <v>2.625</v>
      </c>
      <c r="K58" s="637"/>
      <c r="L58" s="636">
        <v>37275</v>
      </c>
      <c r="M58" s="636"/>
      <c r="N58" s="636">
        <v>737275</v>
      </c>
    </row>
    <row r="59" spans="6:14" x14ac:dyDescent="0.25">
      <c r="F59" s="635">
        <v>60221</v>
      </c>
      <c r="G59" s="635"/>
      <c r="H59" s="636">
        <v>720000</v>
      </c>
      <c r="I59" s="636"/>
      <c r="J59" s="637">
        <v>2.625</v>
      </c>
      <c r="K59" s="637"/>
      <c r="L59" s="636">
        <v>18900</v>
      </c>
      <c r="M59" s="636"/>
      <c r="N59" s="636">
        <v>738900</v>
      </c>
    </row>
    <row r="60" spans="6:14" x14ac:dyDescent="0.25">
      <c r="F60" s="634"/>
      <c r="G60" s="634"/>
      <c r="H60" s="634"/>
      <c r="I60" s="634"/>
      <c r="J60" s="634"/>
      <c r="K60" s="634"/>
      <c r="L60" s="634"/>
      <c r="M60" s="634"/>
      <c r="N60" s="634"/>
    </row>
    <row r="61" spans="6:14" x14ac:dyDescent="0.25">
      <c r="F61" s="634"/>
      <c r="G61" s="634"/>
      <c r="H61" s="634"/>
      <c r="I61" s="634"/>
      <c r="J61" s="634"/>
      <c r="K61" s="634"/>
      <c r="L61" s="634"/>
      <c r="M61" s="634"/>
      <c r="N61" s="634"/>
    </row>
    <row r="62" spans="6:14" x14ac:dyDescent="0.25">
      <c r="F62" s="638">
        <v>0</v>
      </c>
      <c r="G62" s="638"/>
      <c r="H62" s="639">
        <v>18130000</v>
      </c>
      <c r="I62" s="639"/>
      <c r="J62" s="640">
        <v>0</v>
      </c>
      <c r="K62" s="640"/>
      <c r="L62" s="639">
        <v>11370450.16</v>
      </c>
      <c r="M62" s="639"/>
      <c r="N62" s="639">
        <v>29500450.16</v>
      </c>
    </row>
    <row r="63" spans="6:14" x14ac:dyDescent="0.25">
      <c r="F63"/>
      <c r="G63"/>
      <c r="H63"/>
      <c r="I63"/>
      <c r="J63"/>
      <c r="K63"/>
      <c r="L63"/>
      <c r="M63"/>
      <c r="N63"/>
    </row>
    <row r="64" spans="6:14" x14ac:dyDescent="0.25">
      <c r="F64"/>
      <c r="G64"/>
      <c r="H64"/>
      <c r="I64"/>
      <c r="J64"/>
      <c r="K64"/>
      <c r="L64"/>
      <c r="M64"/>
      <c r="N64"/>
    </row>
    <row r="65" spans="6:14" x14ac:dyDescent="0.25">
      <c r="F65" s="622" t="s">
        <v>80</v>
      </c>
      <c r="G65" s="622"/>
      <c r="H65" s="641"/>
      <c r="I65" s="641"/>
      <c r="J65" s="641"/>
      <c r="K65" s="641"/>
      <c r="L65" s="641"/>
      <c r="M65" s="641"/>
      <c r="N65" s="623" t="s">
        <v>73</v>
      </c>
    </row>
    <row r="66" spans="6:14" x14ac:dyDescent="0.25">
      <c r="F66" s="626" t="s">
        <v>70</v>
      </c>
      <c r="G66" s="626"/>
      <c r="H66"/>
      <c r="I66"/>
      <c r="J66"/>
      <c r="K66"/>
      <c r="L66"/>
      <c r="M66"/>
      <c r="N66" s="642" t="s">
        <v>73</v>
      </c>
    </row>
    <row r="67" spans="6:14" x14ac:dyDescent="0.25">
      <c r="F67" s="624" t="s">
        <v>81</v>
      </c>
      <c r="G67" s="624"/>
      <c r="H67" s="634"/>
      <c r="I67" s="634"/>
      <c r="J67" s="634"/>
      <c r="K67" s="634"/>
      <c r="L67" s="634"/>
      <c r="M67" s="634"/>
      <c r="N67" s="625">
        <v>433160</v>
      </c>
    </row>
    <row r="68" spans="6:14" x14ac:dyDescent="0.25">
      <c r="F68" s="624" t="s">
        <v>82</v>
      </c>
      <c r="G68" s="624"/>
      <c r="H68" s="634"/>
      <c r="I68" s="634"/>
      <c r="J68" s="634"/>
      <c r="K68" s="634"/>
      <c r="L68" s="634"/>
      <c r="M68" s="634"/>
      <c r="N68" s="643">
        <v>23.891891891891898</v>
      </c>
    </row>
    <row r="69" spans="6:14" x14ac:dyDescent="0.25">
      <c r="F69" s="624" t="s">
        <v>83</v>
      </c>
      <c r="G69" s="624"/>
      <c r="H69" s="634"/>
      <c r="I69" s="634"/>
      <c r="J69" s="634"/>
      <c r="K69" s="634"/>
      <c r="L69" s="634"/>
      <c r="M69" s="634"/>
      <c r="N69" s="644">
        <v>2.6250000369378501</v>
      </c>
    </row>
    <row r="70" spans="6:14" x14ac:dyDescent="0.25">
      <c r="F70" s="626" t="s">
        <v>70</v>
      </c>
      <c r="G70" s="626"/>
      <c r="H70"/>
      <c r="I70"/>
      <c r="J70"/>
      <c r="K70"/>
      <c r="L70"/>
      <c r="M70"/>
      <c r="N70" s="627" t="s">
        <v>73</v>
      </c>
    </row>
    <row r="71" spans="6:14" x14ac:dyDescent="0.25">
      <c r="F71" s="624" t="s">
        <v>84</v>
      </c>
      <c r="G71" s="624"/>
      <c r="H71" s="634"/>
      <c r="I71" s="634"/>
      <c r="J71" s="634"/>
      <c r="K71" s="634"/>
      <c r="L71" s="634"/>
      <c r="M71" s="634"/>
      <c r="N71" s="644">
        <v>2.6250000369378501</v>
      </c>
    </row>
    <row r="72" spans="6:14" x14ac:dyDescent="0.25">
      <c r="F72" s="624" t="s">
        <v>85</v>
      </c>
      <c r="G72" s="624"/>
      <c r="H72" s="634"/>
      <c r="I72" s="634"/>
      <c r="J72" s="634"/>
      <c r="K72" s="634"/>
      <c r="L72" s="634"/>
      <c r="M72" s="634"/>
      <c r="N72" s="644">
        <v>2.62399812703344</v>
      </c>
    </row>
    <row r="73" spans="6:14" x14ac:dyDescent="0.25">
      <c r="F73" s="624" t="s">
        <v>86</v>
      </c>
      <c r="G73" s="624"/>
      <c r="H73" s="634"/>
      <c r="I73" s="634"/>
      <c r="J73" s="634"/>
      <c r="K73" s="634"/>
      <c r="L73" s="634"/>
      <c r="M73" s="634"/>
      <c r="N73" s="644">
        <v>2.62399812703344</v>
      </c>
    </row>
    <row r="74" spans="6:14" x14ac:dyDescent="0.25">
      <c r="F74" s="624" t="s">
        <v>87</v>
      </c>
      <c r="G74" s="624"/>
      <c r="H74" s="634"/>
      <c r="I74" s="634"/>
      <c r="J74" s="634"/>
      <c r="K74" s="634"/>
      <c r="L74" s="634"/>
      <c r="M74" s="634"/>
      <c r="N74" s="644">
        <v>2.7239872145187101</v>
      </c>
    </row>
    <row r="75" spans="6:14" x14ac:dyDescent="0.25">
      <c r="F75" s="626" t="s">
        <v>70</v>
      </c>
      <c r="G75" s="626"/>
      <c r="H75"/>
      <c r="I75"/>
      <c r="J75"/>
      <c r="K75"/>
      <c r="L75"/>
      <c r="M75"/>
      <c r="N75" s="627" t="s">
        <v>73</v>
      </c>
    </row>
    <row r="76" spans="6:14" x14ac:dyDescent="0.25">
      <c r="F76" s="622" t="s">
        <v>88</v>
      </c>
      <c r="G76" s="622"/>
      <c r="H76" s="641"/>
      <c r="I76" s="641"/>
      <c r="J76" s="641"/>
      <c r="K76" s="641"/>
      <c r="L76" s="641"/>
      <c r="M76" s="641"/>
      <c r="N76" s="630" t="s">
        <v>73</v>
      </c>
    </row>
    <row r="77" spans="6:14" x14ac:dyDescent="0.25">
      <c r="F77" s="624" t="s">
        <v>89</v>
      </c>
      <c r="G77" s="624"/>
      <c r="H77" s="634"/>
      <c r="I77" s="634"/>
      <c r="J77" s="634"/>
      <c r="K77" s="634"/>
      <c r="L77" s="634"/>
      <c r="M77" s="634"/>
      <c r="N77" s="644">
        <v>2.6250000369378501</v>
      </c>
    </row>
    <row r="78" spans="6:14" x14ac:dyDescent="0.25">
      <c r="F78" s="624" t="s">
        <v>90</v>
      </c>
      <c r="G78" s="624"/>
      <c r="H78" s="634"/>
      <c r="I78" s="634"/>
      <c r="J78" s="634"/>
      <c r="K78" s="634"/>
      <c r="L78" s="634"/>
      <c r="M78" s="634"/>
      <c r="N78" s="643">
        <v>23.891891891891898</v>
      </c>
    </row>
  </sheetData>
  <sheetProtection algorithmName="SHA-512" hashValue="xPTtwDq7v7nztl1aXMlrVWyJRYmVApLO+mGGbIRqQxKQ+NuNYRBiAxgukkkH3l3sO7o6cpJeXy+X55GzBwyfkg==" saltValue="RE0MSo6m6XagdC+3W05xAw=="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C2A7-3240-4A2F-850E-62AE0C423CE0}">
  <sheetPr codeName="Sheet24"/>
  <dimension ref="B1:C21"/>
  <sheetViews>
    <sheetView workbookViewId="0">
      <selection activeCell="C12" sqref="C12"/>
    </sheetView>
  </sheetViews>
  <sheetFormatPr defaultRowHeight="12.5" x14ac:dyDescent="0.25"/>
  <cols>
    <col min="2" max="2" width="88.26953125" bestFit="1" customWidth="1"/>
    <col min="3" max="3" width="11.7265625" bestFit="1" customWidth="1"/>
  </cols>
  <sheetData>
    <row r="1" spans="2:3" ht="13" thickBot="1" x14ac:dyDescent="0.3"/>
    <row r="2" spans="2:3" ht="28.5" thickBot="1" x14ac:dyDescent="0.3">
      <c r="B2" s="534" t="s">
        <v>497</v>
      </c>
      <c r="C2" s="535" t="s">
        <v>498</v>
      </c>
    </row>
    <row r="3" spans="2:3" ht="13.5" thickBot="1" x14ac:dyDescent="0.3">
      <c r="B3" s="530" t="s">
        <v>499</v>
      </c>
      <c r="C3" s="531"/>
    </row>
    <row r="4" spans="2:3" ht="13.5" thickBot="1" x14ac:dyDescent="0.3">
      <c r="B4" s="526" t="s">
        <v>61</v>
      </c>
      <c r="C4" s="527">
        <v>3238000</v>
      </c>
    </row>
    <row r="5" spans="2:3" ht="13.5" thickBot="1" x14ac:dyDescent="0.3">
      <c r="B5" s="526" t="s">
        <v>486</v>
      </c>
      <c r="C5" s="527">
        <v>120000</v>
      </c>
    </row>
    <row r="6" spans="2:3" ht="13.5" thickBot="1" x14ac:dyDescent="0.3">
      <c r="B6" s="526" t="s">
        <v>487</v>
      </c>
      <c r="C6" s="527">
        <v>117000</v>
      </c>
    </row>
    <row r="7" spans="2:3" ht="13.5" thickBot="1" x14ac:dyDescent="0.3">
      <c r="B7" s="526" t="s">
        <v>488</v>
      </c>
      <c r="C7" s="527">
        <v>645000</v>
      </c>
    </row>
    <row r="8" spans="2:3" ht="13.5" thickBot="1" x14ac:dyDescent="0.3">
      <c r="B8" s="526" t="s">
        <v>489</v>
      </c>
      <c r="C8" s="527">
        <v>67000</v>
      </c>
    </row>
    <row r="9" spans="2:3" ht="13.5" thickBot="1" x14ac:dyDescent="0.3">
      <c r="B9" s="528" t="s">
        <v>137</v>
      </c>
      <c r="C9" s="529">
        <v>4187000</v>
      </c>
    </row>
    <row r="10" spans="2:3" ht="13.5" thickBot="1" x14ac:dyDescent="0.3">
      <c r="B10" s="530" t="s">
        <v>490</v>
      </c>
      <c r="C10" s="531"/>
    </row>
    <row r="11" spans="2:3" ht="13.5" thickBot="1" x14ac:dyDescent="0.3">
      <c r="B11" s="526" t="s">
        <v>491</v>
      </c>
      <c r="C11" s="527">
        <v>90000</v>
      </c>
    </row>
    <row r="12" spans="2:3" ht="13.5" thickBot="1" x14ac:dyDescent="0.3">
      <c r="B12" s="526" t="s">
        <v>492</v>
      </c>
      <c r="C12" s="527">
        <v>98000</v>
      </c>
    </row>
    <row r="13" spans="2:3" ht="13.5" thickBot="1" x14ac:dyDescent="0.3">
      <c r="B13" s="526" t="s">
        <v>493</v>
      </c>
      <c r="C13" s="527">
        <v>34000</v>
      </c>
    </row>
    <row r="14" spans="2:3" ht="13.5" thickBot="1" x14ac:dyDescent="0.3">
      <c r="B14" s="526" t="s">
        <v>494</v>
      </c>
      <c r="C14" s="527">
        <v>6873000</v>
      </c>
    </row>
    <row r="15" spans="2:3" ht="13.5" thickBot="1" x14ac:dyDescent="0.3">
      <c r="B15" s="526" t="s">
        <v>495</v>
      </c>
      <c r="C15" s="527">
        <v>1446000</v>
      </c>
    </row>
    <row r="16" spans="2:3" ht="13.5" thickBot="1" x14ac:dyDescent="0.3">
      <c r="B16" s="526" t="s">
        <v>496</v>
      </c>
      <c r="C16" s="527">
        <v>238000</v>
      </c>
    </row>
    <row r="17" spans="2:3" ht="13.5" thickBot="1" x14ac:dyDescent="0.3">
      <c r="B17" s="528" t="s">
        <v>137</v>
      </c>
      <c r="C17" s="529">
        <v>8779000</v>
      </c>
    </row>
    <row r="18" spans="2:3" ht="13.5" thickBot="1" x14ac:dyDescent="0.3">
      <c r="B18" s="532" t="s">
        <v>278</v>
      </c>
      <c r="C18" s="533">
        <v>12966000</v>
      </c>
    </row>
    <row r="19" spans="2:3" ht="13" x14ac:dyDescent="0.25">
      <c r="B19" s="536" t="s">
        <v>500</v>
      </c>
    </row>
    <row r="20" spans="2:3" ht="15" x14ac:dyDescent="0.25">
      <c r="B20" s="537" t="s">
        <v>501</v>
      </c>
    </row>
    <row r="21" spans="2:3" ht="15" x14ac:dyDescent="0.25">
      <c r="B21" s="537" t="s">
        <v>502</v>
      </c>
    </row>
  </sheetData>
  <sheetProtection algorithmName="SHA-512" hashValue="tDYyDBR7slSFvzTIsKLlwBL9tu7FJSznog2kh1njoHbo8+3CXCr0TwRjoCVJekUwYaDyPwxv4FXn1cTZnZqNGw==" saltValue="mxNY8UMmn7OaBTHxwg5wtg=="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0DDF6-B501-4B42-8290-7264EB2C16FD}">
  <dimension ref="A3:N53"/>
  <sheetViews>
    <sheetView zoomScale="70" zoomScaleNormal="70" workbookViewId="0">
      <selection activeCell="G63" sqref="G63"/>
    </sheetView>
  </sheetViews>
  <sheetFormatPr defaultColWidth="8.81640625" defaultRowHeight="14" x14ac:dyDescent="0.3"/>
  <cols>
    <col min="1" max="1" width="8.81640625" style="698"/>
    <col min="2" max="2" width="58.54296875" style="698" customWidth="1"/>
    <col min="3" max="3" width="73.26953125" style="698" customWidth="1"/>
    <col min="4" max="4" width="17.7265625" style="698" customWidth="1"/>
    <col min="5" max="5" width="14.54296875" style="698" bestFit="1" customWidth="1"/>
    <col min="6" max="6" width="17.1796875" style="698" customWidth="1"/>
    <col min="7" max="7" width="24" style="698" bestFit="1" customWidth="1"/>
    <col min="8" max="8" width="11.1796875" style="698" customWidth="1"/>
    <col min="9" max="9" width="8.81640625" style="698"/>
    <col min="10" max="10" width="11.7265625" style="698" bestFit="1" customWidth="1"/>
    <col min="11" max="11" width="15.26953125" style="698" bestFit="1" customWidth="1"/>
    <col min="12" max="12" width="13.26953125" style="698" customWidth="1"/>
    <col min="13" max="13" width="11.81640625" style="698" bestFit="1" customWidth="1"/>
    <col min="14" max="14" width="13.453125" style="698" bestFit="1" customWidth="1"/>
    <col min="15" max="16384" width="8.81640625" style="698"/>
  </cols>
  <sheetData>
    <row r="3" spans="1:14" ht="28" x14ac:dyDescent="0.3">
      <c r="A3" s="711" t="s">
        <v>651</v>
      </c>
      <c r="B3" s="711" t="s">
        <v>650</v>
      </c>
      <c r="C3" s="711" t="s">
        <v>649</v>
      </c>
      <c r="D3" s="699" t="s">
        <v>648</v>
      </c>
      <c r="E3" s="711" t="s">
        <v>647</v>
      </c>
      <c r="F3" s="699" t="s">
        <v>646</v>
      </c>
      <c r="H3" s="711" t="s">
        <v>645</v>
      </c>
      <c r="L3" s="713">
        <v>0.2</v>
      </c>
      <c r="M3" s="713">
        <v>0.06</v>
      </c>
    </row>
    <row r="4" spans="1:14" x14ac:dyDescent="0.3">
      <c r="A4" s="712" t="s">
        <v>644</v>
      </c>
      <c r="B4" s="726" t="s">
        <v>643</v>
      </c>
      <c r="C4" s="727"/>
      <c r="D4" s="727"/>
      <c r="H4" s="698" t="s">
        <v>124</v>
      </c>
      <c r="I4" s="698" t="s">
        <v>642</v>
      </c>
      <c r="J4" s="698" t="s">
        <v>641</v>
      </c>
      <c r="K4" s="698" t="s">
        <v>640</v>
      </c>
      <c r="L4" s="698" t="s">
        <v>639</v>
      </c>
      <c r="M4" s="698" t="s">
        <v>638</v>
      </c>
      <c r="N4" s="698" t="s">
        <v>278</v>
      </c>
    </row>
    <row r="5" spans="1:14" ht="31.5" customHeight="1" x14ac:dyDescent="0.3">
      <c r="A5" s="698" t="s">
        <v>637</v>
      </c>
      <c r="B5" s="707" t="s">
        <v>636</v>
      </c>
      <c r="C5" s="707" t="s">
        <v>550</v>
      </c>
      <c r="D5" s="698" t="s">
        <v>614</v>
      </c>
      <c r="E5" s="708">
        <f>+ROUNDUP(N5,-4)</f>
        <v>280000</v>
      </c>
      <c r="F5" s="708" t="s">
        <v>604</v>
      </c>
      <c r="G5" s="698" t="s">
        <v>553</v>
      </c>
      <c r="H5" s="698">
        <f>12*43560/9</f>
        <v>58080</v>
      </c>
      <c r="I5" s="698" t="s">
        <v>115</v>
      </c>
      <c r="J5" s="708">
        <v>3.75</v>
      </c>
      <c r="K5" s="708">
        <f>+H5*J5</f>
        <v>217800</v>
      </c>
      <c r="L5" s="708">
        <f>+K5*$L$3</f>
        <v>43560</v>
      </c>
      <c r="M5" s="708">
        <f>+(K5+L5)*$M$3</f>
        <v>15681.599999999999</v>
      </c>
      <c r="N5" s="708">
        <f>+K5+L5+M5</f>
        <v>277041.59999999998</v>
      </c>
    </row>
    <row r="6" spans="1:14" ht="28" x14ac:dyDescent="0.3">
      <c r="A6" s="698" t="s">
        <v>635</v>
      </c>
      <c r="B6" s="707" t="s">
        <v>634</v>
      </c>
      <c r="C6" s="707" t="s">
        <v>550</v>
      </c>
      <c r="D6" s="698" t="s">
        <v>614</v>
      </c>
      <c r="E6" s="708">
        <f>+ROUNDUP(N6,-4)</f>
        <v>320000</v>
      </c>
      <c r="F6" s="708" t="s">
        <v>604</v>
      </c>
      <c r="G6" s="698" t="s">
        <v>218</v>
      </c>
      <c r="H6" s="698">
        <f>+H5</f>
        <v>58080</v>
      </c>
      <c r="I6" s="698" t="str">
        <f>+I5</f>
        <v>SY</v>
      </c>
      <c r="J6" s="708">
        <v>4.25</v>
      </c>
      <c r="K6" s="708">
        <f>+H6*J6</f>
        <v>246840</v>
      </c>
      <c r="L6" s="708">
        <f>+K6*$L$3</f>
        <v>49368</v>
      </c>
      <c r="M6" s="708">
        <f>+(K6+L6)*$M$3</f>
        <v>17772.48</v>
      </c>
      <c r="N6" s="708">
        <f>+K6+L6+M6</f>
        <v>313980.48</v>
      </c>
    </row>
    <row r="7" spans="1:14" ht="28" x14ac:dyDescent="0.3">
      <c r="A7" s="698" t="s">
        <v>633</v>
      </c>
      <c r="B7" s="707" t="s">
        <v>632</v>
      </c>
      <c r="C7" s="707" t="s">
        <v>582</v>
      </c>
      <c r="D7" s="698" t="s">
        <v>614</v>
      </c>
      <c r="E7" s="708">
        <f>+ROUNDUP(N7,-4)</f>
        <v>130000</v>
      </c>
      <c r="F7" s="708" t="s">
        <v>604</v>
      </c>
      <c r="G7" s="698" t="s">
        <v>577</v>
      </c>
      <c r="H7" s="698">
        <f>+H6</f>
        <v>58080</v>
      </c>
      <c r="I7" s="698" t="str">
        <f>+I6</f>
        <v>SY</v>
      </c>
      <c r="J7" s="708">
        <v>1.75</v>
      </c>
      <c r="K7" s="708">
        <f>+H7*J7</f>
        <v>101640</v>
      </c>
      <c r="L7" s="708">
        <f>+K7*$L$3</f>
        <v>20328</v>
      </c>
      <c r="M7" s="708">
        <f>+(K7+L7)*$M$3</f>
        <v>7318.08</v>
      </c>
      <c r="N7" s="708">
        <f>+K7+L7+M7</f>
        <v>129286.08</v>
      </c>
    </row>
    <row r="8" spans="1:14" ht="42" x14ac:dyDescent="0.3">
      <c r="A8" s="698" t="s">
        <v>631</v>
      </c>
      <c r="B8" s="707" t="s">
        <v>630</v>
      </c>
      <c r="C8" s="707" t="s">
        <v>579</v>
      </c>
      <c r="D8" s="698" t="s">
        <v>614</v>
      </c>
      <c r="E8" s="708">
        <f>+ROUNDUP(N10,-4)</f>
        <v>50000</v>
      </c>
      <c r="F8" s="708" t="s">
        <v>604</v>
      </c>
      <c r="G8" s="698" t="s">
        <v>578</v>
      </c>
      <c r="H8" s="698">
        <v>1025</v>
      </c>
      <c r="I8" s="698" t="s">
        <v>113</v>
      </c>
      <c r="J8" s="708">
        <v>30</v>
      </c>
      <c r="K8" s="708">
        <f>+H8*J8</f>
        <v>30750</v>
      </c>
      <c r="L8" s="708">
        <f>+K8*$L$3</f>
        <v>6150</v>
      </c>
      <c r="M8" s="708">
        <f>+(K8+L8)*$M$3</f>
        <v>2214</v>
      </c>
      <c r="N8" s="708">
        <f>+K8+L8+M8</f>
        <v>39114</v>
      </c>
    </row>
    <row r="9" spans="1:14" x14ac:dyDescent="0.3">
      <c r="B9" s="707"/>
      <c r="C9" s="707"/>
      <c r="G9" s="698" t="s">
        <v>577</v>
      </c>
      <c r="H9" s="709">
        <f>+ROUNDUP(H8*15/9,-1)</f>
        <v>1710</v>
      </c>
      <c r="I9" s="698" t="s">
        <v>115</v>
      </c>
      <c r="J9" s="708">
        <v>1.25</v>
      </c>
      <c r="K9" s="708">
        <f>+H9*J9</f>
        <v>2137.5</v>
      </c>
      <c r="L9" s="708">
        <f>+K9*$L$3</f>
        <v>427.5</v>
      </c>
      <c r="M9" s="708">
        <f>+(K9+L9)*$M$3</f>
        <v>153.9</v>
      </c>
      <c r="N9" s="708">
        <f>+K9+L9+M9</f>
        <v>2718.9</v>
      </c>
    </row>
    <row r="10" spans="1:14" x14ac:dyDescent="0.3">
      <c r="B10" s="707"/>
      <c r="C10" s="707"/>
      <c r="G10" s="698" t="s">
        <v>576</v>
      </c>
      <c r="J10" s="708"/>
      <c r="K10" s="708"/>
      <c r="L10" s="708"/>
      <c r="M10" s="708"/>
      <c r="N10" s="700">
        <f>+N8+N9</f>
        <v>41832.9</v>
      </c>
    </row>
    <row r="11" spans="1:14" ht="42" x14ac:dyDescent="0.3">
      <c r="A11" s="698" t="s">
        <v>629</v>
      </c>
      <c r="B11" s="707" t="s">
        <v>628</v>
      </c>
      <c r="C11" s="707" t="s">
        <v>570</v>
      </c>
      <c r="D11" s="698" t="s">
        <v>614</v>
      </c>
      <c r="E11" s="708">
        <f>+ROUNDUP(N17,-4)</f>
        <v>210000</v>
      </c>
      <c r="F11" s="708" t="s">
        <v>604</v>
      </c>
    </row>
    <row r="12" spans="1:14" x14ac:dyDescent="0.3">
      <c r="B12" s="707"/>
      <c r="C12" s="707"/>
      <c r="G12" s="698" t="s">
        <v>627</v>
      </c>
      <c r="H12" s="698">
        <v>160</v>
      </c>
      <c r="I12" s="698" t="s">
        <v>113</v>
      </c>
      <c r="J12" s="708">
        <v>80</v>
      </c>
      <c r="K12" s="708">
        <f>+H12*J12</f>
        <v>12800</v>
      </c>
      <c r="L12" s="708">
        <f>+K12*$L$3</f>
        <v>2560</v>
      </c>
      <c r="M12" s="708">
        <f>+(K12+L12)*$M$3</f>
        <v>921.59999999999991</v>
      </c>
      <c r="N12" s="708">
        <f>+K12+L12+M12</f>
        <v>16281.6</v>
      </c>
    </row>
    <row r="13" spans="1:14" x14ac:dyDescent="0.3">
      <c r="B13" s="707"/>
      <c r="C13" s="707"/>
      <c r="G13" s="698" t="s">
        <v>626</v>
      </c>
      <c r="H13" s="709">
        <v>2</v>
      </c>
      <c r="I13" s="698" t="s">
        <v>141</v>
      </c>
      <c r="J13" s="708">
        <v>65000</v>
      </c>
      <c r="K13" s="708">
        <f>+H13*J13</f>
        <v>130000</v>
      </c>
      <c r="L13" s="708">
        <f>+K13*$L$3</f>
        <v>26000</v>
      </c>
      <c r="M13" s="708">
        <f>+(K13+L13)*$M$3</f>
        <v>9360</v>
      </c>
      <c r="N13" s="708">
        <f>+K13+L13+M13</f>
        <v>165360</v>
      </c>
    </row>
    <row r="14" spans="1:14" x14ac:dyDescent="0.3">
      <c r="B14" s="707"/>
      <c r="C14" s="707"/>
      <c r="G14" s="698" t="s">
        <v>625</v>
      </c>
      <c r="H14" s="709">
        <v>2</v>
      </c>
      <c r="I14" s="698" t="s">
        <v>141</v>
      </c>
      <c r="J14" s="708">
        <v>5000</v>
      </c>
      <c r="K14" s="708">
        <f>+H14*J14</f>
        <v>10000</v>
      </c>
      <c r="L14" s="708">
        <f>+K14*$L$3</f>
        <v>2000</v>
      </c>
      <c r="M14" s="708">
        <f>+(K14+L14)*$M$3</f>
        <v>720</v>
      </c>
      <c r="N14" s="708">
        <f>+K14+L14+M14</f>
        <v>12720</v>
      </c>
    </row>
    <row r="15" spans="1:14" x14ac:dyDescent="0.3">
      <c r="B15" s="707"/>
      <c r="C15" s="707"/>
      <c r="G15" s="698" t="s">
        <v>624</v>
      </c>
      <c r="H15" s="709">
        <f>+H12+20</f>
        <v>180</v>
      </c>
      <c r="I15" s="698" t="s">
        <v>113</v>
      </c>
      <c r="J15" s="708">
        <v>15</v>
      </c>
      <c r="K15" s="708">
        <f>+H15*J15</f>
        <v>2700</v>
      </c>
      <c r="L15" s="708">
        <f>+K15*$L$3</f>
        <v>540</v>
      </c>
      <c r="M15" s="708">
        <f>+(K15+L15)*$M$3</f>
        <v>194.4</v>
      </c>
      <c r="N15" s="708">
        <f>+K15+L15+M15</f>
        <v>3434.4</v>
      </c>
    </row>
    <row r="16" spans="1:14" x14ac:dyDescent="0.3">
      <c r="B16" s="707"/>
      <c r="C16" s="707"/>
      <c r="G16" s="698" t="s">
        <v>623</v>
      </c>
      <c r="H16" s="709">
        <v>4</v>
      </c>
      <c r="I16" s="698" t="s">
        <v>141</v>
      </c>
      <c r="J16" s="708">
        <v>1500</v>
      </c>
      <c r="K16" s="708">
        <f>+H16*J16</f>
        <v>6000</v>
      </c>
      <c r="L16" s="708">
        <f>+K16*$L$3</f>
        <v>1200</v>
      </c>
      <c r="M16" s="708">
        <f>+(K16+L16)*$M$3</f>
        <v>432</v>
      </c>
      <c r="N16" s="708">
        <f>+K16+L16+M16</f>
        <v>7632</v>
      </c>
    </row>
    <row r="17" spans="1:14" x14ac:dyDescent="0.3">
      <c r="B17" s="707"/>
      <c r="C17" s="707"/>
      <c r="G17" s="698" t="s">
        <v>576</v>
      </c>
      <c r="H17" s="709"/>
      <c r="J17" s="708"/>
      <c r="K17" s="708"/>
      <c r="L17" s="708"/>
      <c r="M17" s="708"/>
      <c r="N17" s="700">
        <f>+SUM(N12:N16)</f>
        <v>205428</v>
      </c>
    </row>
    <row r="18" spans="1:14" ht="42" x14ac:dyDescent="0.3">
      <c r="A18" s="698" t="s">
        <v>622</v>
      </c>
      <c r="B18" s="707" t="s">
        <v>621</v>
      </c>
      <c r="C18" s="707" t="s">
        <v>567</v>
      </c>
      <c r="D18" s="698" t="s">
        <v>614</v>
      </c>
      <c r="E18" s="708">
        <f>+ROUNDUP(N21,-4)</f>
        <v>50000</v>
      </c>
      <c r="F18" s="708" t="s">
        <v>604</v>
      </c>
      <c r="G18" s="698" t="s">
        <v>553</v>
      </c>
      <c r="H18" s="698">
        <f>0.5*43560/9</f>
        <v>2420</v>
      </c>
      <c r="I18" s="698" t="s">
        <v>115</v>
      </c>
      <c r="J18" s="708">
        <f>+J5</f>
        <v>3.75</v>
      </c>
      <c r="K18" s="708">
        <f>+H18*J18</f>
        <v>9075</v>
      </c>
      <c r="L18" s="708">
        <f>+K18*$L$3</f>
        <v>1815</v>
      </c>
      <c r="M18" s="708">
        <f>+(K18+L18)*$M$3</f>
        <v>653.4</v>
      </c>
      <c r="N18" s="708">
        <f>+K18+L18+M18</f>
        <v>11543.4</v>
      </c>
    </row>
    <row r="19" spans="1:14" x14ac:dyDescent="0.3">
      <c r="B19" s="707"/>
      <c r="C19" s="707"/>
      <c r="G19" s="698" t="s">
        <v>613</v>
      </c>
      <c r="H19" s="698">
        <f>+H18</f>
        <v>2420</v>
      </c>
      <c r="I19" s="698" t="str">
        <f>+I18</f>
        <v>SY</v>
      </c>
      <c r="J19" s="708">
        <v>3.75</v>
      </c>
      <c r="K19" s="708">
        <f>+H19*J19</f>
        <v>9075</v>
      </c>
      <c r="L19" s="708">
        <f>+K19*$L$3</f>
        <v>1815</v>
      </c>
      <c r="M19" s="708">
        <f>+(K19+L19)*$M$3</f>
        <v>653.4</v>
      </c>
      <c r="N19" s="708">
        <f>+K19+L19+M19</f>
        <v>11543.4</v>
      </c>
    </row>
    <row r="20" spans="1:14" x14ac:dyDescent="0.3">
      <c r="B20" s="707"/>
      <c r="C20" s="707"/>
      <c r="G20" s="698" t="s">
        <v>611</v>
      </c>
      <c r="H20" s="698">
        <v>1</v>
      </c>
      <c r="I20" s="698" t="s">
        <v>117</v>
      </c>
      <c r="J20" s="708">
        <v>15000</v>
      </c>
      <c r="K20" s="708">
        <f>+H20*J20</f>
        <v>15000</v>
      </c>
      <c r="L20" s="708">
        <f>+K20*$L$3</f>
        <v>3000</v>
      </c>
      <c r="M20" s="708">
        <f>+(K20+L20)*$M$3</f>
        <v>1080</v>
      </c>
      <c r="N20" s="708">
        <f>+K20+L20+M20</f>
        <v>19080</v>
      </c>
    </row>
    <row r="21" spans="1:14" x14ac:dyDescent="0.3">
      <c r="B21" s="707"/>
      <c r="C21" s="707"/>
      <c r="J21" s="708"/>
      <c r="K21" s="708"/>
      <c r="L21" s="708"/>
      <c r="M21" s="708"/>
      <c r="N21" s="700">
        <f>+SUM(N18:N20)</f>
        <v>42166.8</v>
      </c>
    </row>
    <row r="22" spans="1:14" ht="28" x14ac:dyDescent="0.3">
      <c r="A22" s="698" t="s">
        <v>620</v>
      </c>
      <c r="B22" s="707" t="s">
        <v>619</v>
      </c>
      <c r="C22" s="707" t="s">
        <v>550</v>
      </c>
      <c r="D22" s="698" t="s">
        <v>614</v>
      </c>
      <c r="E22" s="708">
        <f>+ROUNDUP(N22,-4)</f>
        <v>70000</v>
      </c>
      <c r="F22" s="708" t="s">
        <v>604</v>
      </c>
      <c r="G22" s="698" t="s">
        <v>553</v>
      </c>
      <c r="H22" s="698">
        <f>3*43560/9</f>
        <v>14520</v>
      </c>
      <c r="I22" s="698" t="s">
        <v>115</v>
      </c>
      <c r="J22" s="708">
        <f>+J5</f>
        <v>3.75</v>
      </c>
      <c r="K22" s="708">
        <f>+H22*J22</f>
        <v>54450</v>
      </c>
      <c r="L22" s="708">
        <f>+K22*$L$3</f>
        <v>10890</v>
      </c>
      <c r="M22" s="708">
        <f>+(K22+L22)*$M$3</f>
        <v>3920.3999999999996</v>
      </c>
      <c r="N22" s="708">
        <f>+K22+L22+M22</f>
        <v>69260.399999999994</v>
      </c>
    </row>
    <row r="23" spans="1:14" ht="28" x14ac:dyDescent="0.3">
      <c r="A23" s="698" t="s">
        <v>618</v>
      </c>
      <c r="B23" s="707" t="s">
        <v>617</v>
      </c>
      <c r="C23" s="707" t="s">
        <v>550</v>
      </c>
      <c r="E23" s="708">
        <f>+ROUNDUP(N23,-4)</f>
        <v>80000</v>
      </c>
      <c r="F23" s="708" t="s">
        <v>604</v>
      </c>
      <c r="G23" s="698" t="s">
        <v>218</v>
      </c>
      <c r="H23" s="698">
        <f>+H22</f>
        <v>14520</v>
      </c>
      <c r="I23" s="698" t="str">
        <f>+I22</f>
        <v>SY</v>
      </c>
      <c r="J23" s="708">
        <f>+J6</f>
        <v>4.25</v>
      </c>
      <c r="K23" s="708">
        <f>+H23*J23</f>
        <v>61710</v>
      </c>
      <c r="L23" s="708">
        <f>+K23*$L$3</f>
        <v>12342</v>
      </c>
      <c r="M23" s="708">
        <f>+(K23+L23)*$M$3</f>
        <v>4443.12</v>
      </c>
      <c r="N23" s="708">
        <f>+K23+L23+M23</f>
        <v>78495.12</v>
      </c>
    </row>
    <row r="24" spans="1:14" ht="42" x14ac:dyDescent="0.3">
      <c r="A24" s="698" t="s">
        <v>616</v>
      </c>
      <c r="B24" s="707" t="s">
        <v>615</v>
      </c>
      <c r="C24" s="707" t="s">
        <v>547</v>
      </c>
      <c r="D24" s="698" t="s">
        <v>614</v>
      </c>
      <c r="E24" s="708">
        <f>+ROUNDUP(N28,-4)</f>
        <v>110000</v>
      </c>
      <c r="F24" s="708" t="s">
        <v>604</v>
      </c>
      <c r="G24" s="698" t="s">
        <v>553</v>
      </c>
      <c r="H24" s="698">
        <f>3*43560/9</f>
        <v>14520</v>
      </c>
      <c r="I24" s="698" t="s">
        <v>115</v>
      </c>
      <c r="J24" s="708">
        <f>+J11</f>
        <v>0</v>
      </c>
      <c r="K24" s="708">
        <f>+H24*J24</f>
        <v>0</v>
      </c>
      <c r="L24" s="708">
        <f>+K24*$L$3</f>
        <v>0</v>
      </c>
      <c r="M24" s="708">
        <f>+(K24+L24)*$M$3</f>
        <v>0</v>
      </c>
      <c r="N24" s="708">
        <f>+K24+L24+M24</f>
        <v>0</v>
      </c>
    </row>
    <row r="25" spans="1:14" x14ac:dyDescent="0.3">
      <c r="G25" s="698" t="s">
        <v>613</v>
      </c>
      <c r="H25" s="698">
        <f>+H24</f>
        <v>14520</v>
      </c>
      <c r="I25" s="698" t="str">
        <f>+I24</f>
        <v>SY</v>
      </c>
      <c r="J25" s="708">
        <v>3.75</v>
      </c>
      <c r="K25" s="708">
        <f>+H25*J25</f>
        <v>54450</v>
      </c>
      <c r="L25" s="708">
        <f>+K25*$L$3</f>
        <v>10890</v>
      </c>
      <c r="M25" s="708">
        <f>+(K25+L25)*$M$3</f>
        <v>3920.3999999999996</v>
      </c>
      <c r="N25" s="708">
        <f>+K25+L25+M25</f>
        <v>69260.399999999994</v>
      </c>
    </row>
    <row r="26" spans="1:14" x14ac:dyDescent="0.3">
      <c r="C26" s="706" t="s">
        <v>612</v>
      </c>
      <c r="E26" s="700">
        <f>+SUM(E5:E24)</f>
        <v>1300000</v>
      </c>
      <c r="G26" s="698" t="s">
        <v>611</v>
      </c>
      <c r="H26" s="698">
        <v>2</v>
      </c>
      <c r="I26" s="698" t="s">
        <v>141</v>
      </c>
      <c r="J26" s="708">
        <v>15000</v>
      </c>
      <c r="K26" s="708">
        <f>+H26*J26</f>
        <v>30000</v>
      </c>
      <c r="L26" s="708">
        <f>+K26*$L$3</f>
        <v>6000</v>
      </c>
      <c r="M26" s="708">
        <f>+(K26+L26)*$M$3</f>
        <v>2160</v>
      </c>
      <c r="N26" s="708">
        <f>+K26+L26+M26</f>
        <v>38160</v>
      </c>
    </row>
    <row r="27" spans="1:14" x14ac:dyDescent="0.3">
      <c r="A27" s="711" t="s">
        <v>610</v>
      </c>
      <c r="B27" s="726" t="s">
        <v>609</v>
      </c>
      <c r="C27" s="726"/>
      <c r="D27" s="726"/>
      <c r="E27" s="700"/>
      <c r="J27" s="708"/>
      <c r="K27" s="708"/>
      <c r="L27" s="708"/>
      <c r="M27" s="708"/>
      <c r="N27" s="708"/>
    </row>
    <row r="28" spans="1:14" ht="28" x14ac:dyDescent="0.3">
      <c r="A28" s="698" t="s">
        <v>608</v>
      </c>
      <c r="B28" s="707" t="s">
        <v>607</v>
      </c>
      <c r="C28" s="707" t="s">
        <v>606</v>
      </c>
      <c r="D28" s="698" t="s">
        <v>605</v>
      </c>
      <c r="E28" s="708">
        <v>250000</v>
      </c>
      <c r="F28" s="708" t="s">
        <v>604</v>
      </c>
      <c r="J28" s="708"/>
      <c r="K28" s="708"/>
      <c r="L28" s="708"/>
      <c r="M28" s="708"/>
      <c r="N28" s="700">
        <f>+SUM(N24:N26)</f>
        <v>107420.4</v>
      </c>
    </row>
    <row r="29" spans="1:14" x14ac:dyDescent="0.3">
      <c r="B29" s="707"/>
      <c r="C29" s="706" t="s">
        <v>603</v>
      </c>
      <c r="E29" s="700">
        <f>+E28</f>
        <v>250000</v>
      </c>
      <c r="J29" s="708"/>
      <c r="K29" s="708"/>
      <c r="L29" s="708"/>
      <c r="M29" s="708"/>
      <c r="N29" s="700"/>
    </row>
    <row r="30" spans="1:14" x14ac:dyDescent="0.3">
      <c r="A30" s="711" t="s">
        <v>602</v>
      </c>
      <c r="B30" s="726" t="s">
        <v>601</v>
      </c>
      <c r="C30" s="727"/>
      <c r="D30" s="727"/>
    </row>
    <row r="31" spans="1:14" ht="28" x14ac:dyDescent="0.3">
      <c r="A31" s="698" t="s">
        <v>600</v>
      </c>
      <c r="B31" s="707" t="s">
        <v>599</v>
      </c>
      <c r="C31" s="707" t="s">
        <v>598</v>
      </c>
      <c r="D31" s="707" t="s">
        <v>597</v>
      </c>
      <c r="E31" s="710">
        <v>180000</v>
      </c>
      <c r="F31" s="707" t="s">
        <v>594</v>
      </c>
    </row>
    <row r="32" spans="1:14" x14ac:dyDescent="0.3">
      <c r="C32" s="706" t="s">
        <v>596</v>
      </c>
      <c r="E32" s="700">
        <f>+E31</f>
        <v>180000</v>
      </c>
    </row>
    <row r="33" spans="1:14" x14ac:dyDescent="0.3">
      <c r="A33" s="703"/>
      <c r="B33" s="703"/>
      <c r="C33" s="704" t="s">
        <v>595</v>
      </c>
      <c r="D33" s="703"/>
      <c r="E33" s="702">
        <f>+E26+E29+E32</f>
        <v>1730000</v>
      </c>
      <c r="F33" s="701" t="s">
        <v>594</v>
      </c>
    </row>
    <row r="34" spans="1:14" x14ac:dyDescent="0.3">
      <c r="A34" s="711" t="s">
        <v>593</v>
      </c>
      <c r="B34" s="726" t="s">
        <v>592</v>
      </c>
      <c r="C34" s="727"/>
    </row>
    <row r="35" spans="1:14" ht="28" x14ac:dyDescent="0.3">
      <c r="A35" s="698" t="s">
        <v>591</v>
      </c>
      <c r="B35" s="707" t="s">
        <v>590</v>
      </c>
      <c r="C35" s="707" t="s">
        <v>589</v>
      </c>
      <c r="D35" s="707" t="s">
        <v>560</v>
      </c>
      <c r="E35" s="710">
        <v>2100000</v>
      </c>
      <c r="F35" s="707" t="s">
        <v>543</v>
      </c>
    </row>
    <row r="36" spans="1:14" ht="31.5" customHeight="1" x14ac:dyDescent="0.3">
      <c r="A36" s="698" t="s">
        <v>588</v>
      </c>
      <c r="B36" s="707" t="s">
        <v>587</v>
      </c>
      <c r="C36" s="707" t="s">
        <v>550</v>
      </c>
      <c r="D36" s="707" t="s">
        <v>546</v>
      </c>
      <c r="E36" s="708">
        <f>+ROUNDUP(N36,-4)</f>
        <v>190000</v>
      </c>
      <c r="F36" s="707" t="s">
        <v>543</v>
      </c>
      <c r="G36" s="698" t="s">
        <v>553</v>
      </c>
      <c r="H36" s="698">
        <f>12*43560/9</f>
        <v>58080</v>
      </c>
      <c r="I36" s="698" t="s">
        <v>115</v>
      </c>
      <c r="J36" s="708">
        <v>2.5</v>
      </c>
      <c r="K36" s="708">
        <f>+H36*J36</f>
        <v>145200</v>
      </c>
      <c r="L36" s="708">
        <f>+K36*$L$3</f>
        <v>29040</v>
      </c>
      <c r="M36" s="708">
        <f>+(K36+L36)*$M$3</f>
        <v>10454.4</v>
      </c>
      <c r="N36" s="708">
        <f>+K36+L36+M36</f>
        <v>184694.39999999999</v>
      </c>
    </row>
    <row r="37" spans="1:14" ht="28" x14ac:dyDescent="0.3">
      <c r="A37" s="698" t="s">
        <v>586</v>
      </c>
      <c r="B37" s="707" t="s">
        <v>585</v>
      </c>
      <c r="C37" s="707" t="s">
        <v>550</v>
      </c>
      <c r="D37" s="707" t="s">
        <v>546</v>
      </c>
      <c r="E37" s="708">
        <f>+ROUNDUP(N37,-4)</f>
        <v>190000</v>
      </c>
      <c r="F37" s="707" t="s">
        <v>543</v>
      </c>
      <c r="G37" s="698" t="s">
        <v>218</v>
      </c>
      <c r="H37" s="698">
        <f>+H36</f>
        <v>58080</v>
      </c>
      <c r="I37" s="698" t="str">
        <f>+I36</f>
        <v>SY</v>
      </c>
      <c r="J37" s="708">
        <v>2.5</v>
      </c>
      <c r="K37" s="708">
        <f>+H37*J37</f>
        <v>145200</v>
      </c>
      <c r="L37" s="708">
        <f>+K37*$L$3</f>
        <v>29040</v>
      </c>
      <c r="M37" s="708">
        <f>+(K37+L37)*$M$3</f>
        <v>10454.4</v>
      </c>
      <c r="N37" s="708">
        <f>+K37+L37+M37</f>
        <v>184694.39999999999</v>
      </c>
    </row>
    <row r="38" spans="1:14" ht="28" x14ac:dyDescent="0.3">
      <c r="A38" s="698" t="s">
        <v>584</v>
      </c>
      <c r="B38" s="707" t="s">
        <v>583</v>
      </c>
      <c r="C38" s="707" t="s">
        <v>582</v>
      </c>
      <c r="D38" s="707" t="s">
        <v>546</v>
      </c>
      <c r="E38" s="708">
        <f>+ROUNDUP(N38,-4)</f>
        <v>60000</v>
      </c>
      <c r="F38" s="707" t="s">
        <v>543</v>
      </c>
      <c r="G38" s="698" t="s">
        <v>577</v>
      </c>
      <c r="H38" s="698">
        <f>+H37</f>
        <v>58080</v>
      </c>
      <c r="I38" s="698" t="str">
        <f>+I37</f>
        <v>SY</v>
      </c>
      <c r="J38" s="708">
        <v>0.75</v>
      </c>
      <c r="K38" s="708">
        <f>+H38*J38</f>
        <v>43560</v>
      </c>
      <c r="L38" s="708">
        <f>+K38*$L$3</f>
        <v>8712</v>
      </c>
      <c r="M38" s="708">
        <f>+(K38+L38)*$M$3</f>
        <v>3136.3199999999997</v>
      </c>
      <c r="N38" s="708">
        <f>+K38+L38+M38</f>
        <v>55408.32</v>
      </c>
    </row>
    <row r="39" spans="1:14" ht="42" x14ac:dyDescent="0.3">
      <c r="A39" s="698" t="s">
        <v>581</v>
      </c>
      <c r="B39" s="707" t="s">
        <v>580</v>
      </c>
      <c r="C39" s="707" t="s">
        <v>579</v>
      </c>
      <c r="D39" s="707" t="s">
        <v>546</v>
      </c>
      <c r="E39" s="708">
        <f>+ROUNDUP(N41,-4)</f>
        <v>50000</v>
      </c>
      <c r="F39" s="707" t="s">
        <v>543</v>
      </c>
      <c r="G39" s="698" t="s">
        <v>578</v>
      </c>
      <c r="H39" s="698">
        <v>1025</v>
      </c>
      <c r="I39" s="698" t="s">
        <v>113</v>
      </c>
      <c r="J39" s="708">
        <v>30</v>
      </c>
      <c r="K39" s="708">
        <f>+H39*J39</f>
        <v>30750</v>
      </c>
      <c r="L39" s="708">
        <f>+K39*$L$3</f>
        <v>6150</v>
      </c>
      <c r="M39" s="708">
        <f>+(K39+L39)*$M$3</f>
        <v>2214</v>
      </c>
      <c r="N39" s="708">
        <f>+K39+L39+M39</f>
        <v>39114</v>
      </c>
    </row>
    <row r="40" spans="1:14" x14ac:dyDescent="0.3">
      <c r="B40" s="707"/>
      <c r="C40" s="707"/>
      <c r="G40" s="698" t="s">
        <v>577</v>
      </c>
      <c r="H40" s="709">
        <f>+ROUNDUP(H39*15/9,-1)</f>
        <v>1710</v>
      </c>
      <c r="I40" s="698" t="s">
        <v>115</v>
      </c>
      <c r="J40" s="708">
        <v>1.25</v>
      </c>
      <c r="K40" s="708">
        <f>+H40*J40</f>
        <v>2137.5</v>
      </c>
      <c r="L40" s="708">
        <f>+K40*$L$3</f>
        <v>427.5</v>
      </c>
      <c r="M40" s="708">
        <f>+(K40+L40)*$M$3</f>
        <v>153.9</v>
      </c>
      <c r="N40" s="708">
        <f>+K40+L40+M40</f>
        <v>2718.9</v>
      </c>
    </row>
    <row r="41" spans="1:14" x14ac:dyDescent="0.3">
      <c r="B41" s="707"/>
      <c r="C41" s="707"/>
      <c r="G41" s="698" t="s">
        <v>576</v>
      </c>
      <c r="J41" s="708"/>
      <c r="K41" s="708"/>
      <c r="L41" s="708"/>
      <c r="M41" s="708"/>
      <c r="N41" s="700">
        <f>+N39+N40</f>
        <v>41832.9</v>
      </c>
    </row>
    <row r="42" spans="1:14" ht="42" x14ac:dyDescent="0.3">
      <c r="A42" s="698" t="s">
        <v>575</v>
      </c>
      <c r="B42" s="707" t="s">
        <v>574</v>
      </c>
      <c r="C42" s="707" t="s">
        <v>573</v>
      </c>
      <c r="D42" s="707" t="s">
        <v>546</v>
      </c>
      <c r="E42" s="708">
        <v>675000</v>
      </c>
      <c r="F42" s="707" t="s">
        <v>543</v>
      </c>
      <c r="J42" s="708"/>
      <c r="K42" s="708"/>
      <c r="L42" s="708"/>
      <c r="M42" s="708"/>
      <c r="N42" s="700"/>
    </row>
    <row r="43" spans="1:14" ht="42" x14ac:dyDescent="0.3">
      <c r="A43" s="698" t="s">
        <v>572</v>
      </c>
      <c r="B43" s="707" t="s">
        <v>571</v>
      </c>
      <c r="C43" s="707" t="s">
        <v>570</v>
      </c>
      <c r="D43" s="707" t="s">
        <v>546</v>
      </c>
      <c r="E43" s="708">
        <v>100000</v>
      </c>
      <c r="F43" s="707" t="s">
        <v>543</v>
      </c>
    </row>
    <row r="44" spans="1:14" ht="42" x14ac:dyDescent="0.3">
      <c r="A44" s="698" t="s">
        <v>569</v>
      </c>
      <c r="B44" s="707" t="s">
        <v>568</v>
      </c>
      <c r="C44" s="707" t="s">
        <v>567</v>
      </c>
      <c r="D44" s="707" t="s">
        <v>546</v>
      </c>
      <c r="E44" s="708">
        <v>50000</v>
      </c>
      <c r="F44" s="707" t="s">
        <v>543</v>
      </c>
      <c r="J44" s="708"/>
      <c r="K44" s="708"/>
      <c r="L44" s="708"/>
      <c r="M44" s="708"/>
      <c r="N44" s="708"/>
    </row>
    <row r="45" spans="1:14" ht="42" x14ac:dyDescent="0.3">
      <c r="A45" s="698" t="s">
        <v>566</v>
      </c>
      <c r="B45" s="707" t="s">
        <v>565</v>
      </c>
      <c r="C45" s="707" t="s">
        <v>564</v>
      </c>
      <c r="D45" s="707" t="s">
        <v>546</v>
      </c>
      <c r="E45" s="708">
        <v>50000</v>
      </c>
      <c r="F45" s="707" t="s">
        <v>543</v>
      </c>
      <c r="J45" s="708"/>
      <c r="K45" s="708"/>
      <c r="L45" s="708"/>
      <c r="M45" s="708"/>
      <c r="N45" s="708"/>
    </row>
    <row r="46" spans="1:14" ht="28" x14ac:dyDescent="0.3">
      <c r="A46" s="698" t="s">
        <v>563</v>
      </c>
      <c r="B46" s="707" t="s">
        <v>562</v>
      </c>
      <c r="C46" s="707" t="s">
        <v>561</v>
      </c>
      <c r="D46" s="707" t="s">
        <v>560</v>
      </c>
      <c r="E46" s="708">
        <v>100000</v>
      </c>
      <c r="F46" s="707" t="s">
        <v>543</v>
      </c>
      <c r="J46" s="708"/>
      <c r="K46" s="708"/>
      <c r="L46" s="708"/>
      <c r="M46" s="708"/>
      <c r="N46" s="708"/>
    </row>
    <row r="47" spans="1:14" ht="28" x14ac:dyDescent="0.3">
      <c r="A47" s="698" t="s">
        <v>559</v>
      </c>
      <c r="B47" s="707" t="s">
        <v>558</v>
      </c>
      <c r="C47" s="707" t="s">
        <v>557</v>
      </c>
      <c r="D47" s="707" t="s">
        <v>556</v>
      </c>
      <c r="E47" s="708">
        <v>255000</v>
      </c>
      <c r="F47" s="707" t="s">
        <v>543</v>
      </c>
      <c r="J47" s="708"/>
      <c r="K47" s="708"/>
      <c r="L47" s="708"/>
      <c r="M47" s="708"/>
      <c r="N47" s="708"/>
    </row>
    <row r="48" spans="1:14" ht="28" x14ac:dyDescent="0.3">
      <c r="A48" s="698" t="s">
        <v>555</v>
      </c>
      <c r="B48" s="707" t="s">
        <v>554</v>
      </c>
      <c r="C48" s="707" t="s">
        <v>550</v>
      </c>
      <c r="D48" s="707" t="s">
        <v>546</v>
      </c>
      <c r="E48" s="708">
        <f>+ROUNDUP(N48,-4)</f>
        <v>50000</v>
      </c>
      <c r="F48" s="707" t="s">
        <v>543</v>
      </c>
      <c r="G48" s="698" t="s">
        <v>553</v>
      </c>
      <c r="H48" s="698">
        <f>3*43560/9</f>
        <v>14520</v>
      </c>
      <c r="I48" s="698" t="s">
        <v>115</v>
      </c>
      <c r="J48" s="708">
        <v>2.5</v>
      </c>
      <c r="K48" s="708">
        <f>+H48*J48</f>
        <v>36300</v>
      </c>
      <c r="L48" s="708">
        <f>+K48*$L$3</f>
        <v>7260</v>
      </c>
      <c r="M48" s="708">
        <f>+(K48+L48)*$M$3</f>
        <v>2613.6</v>
      </c>
      <c r="N48" s="708">
        <f>+K48+L48+M48</f>
        <v>46173.599999999999</v>
      </c>
    </row>
    <row r="49" spans="1:14" ht="28" x14ac:dyDescent="0.3">
      <c r="A49" s="698" t="s">
        <v>552</v>
      </c>
      <c r="B49" s="707" t="s">
        <v>551</v>
      </c>
      <c r="C49" s="707" t="s">
        <v>550</v>
      </c>
      <c r="D49" s="707" t="s">
        <v>546</v>
      </c>
      <c r="E49" s="708">
        <f>+ROUNDUP(N49,-4)</f>
        <v>50000</v>
      </c>
      <c r="F49" s="707" t="s">
        <v>543</v>
      </c>
      <c r="G49" s="698" t="s">
        <v>218</v>
      </c>
      <c r="H49" s="698">
        <f>+H48</f>
        <v>14520</v>
      </c>
      <c r="I49" s="698" t="str">
        <f>+I48</f>
        <v>SY</v>
      </c>
      <c r="J49" s="708">
        <v>2.5</v>
      </c>
      <c r="K49" s="708">
        <f>+H49*J49</f>
        <v>36300</v>
      </c>
      <c r="L49" s="708">
        <f>+K49*$L$3</f>
        <v>7260</v>
      </c>
      <c r="M49" s="708">
        <f>+(K49+L49)*$M$3</f>
        <v>2613.6</v>
      </c>
      <c r="N49" s="708">
        <f>+K49+L49+M49</f>
        <v>46173.599999999999</v>
      </c>
    </row>
    <row r="50" spans="1:14" ht="42" x14ac:dyDescent="0.3">
      <c r="A50" s="698" t="s">
        <v>549</v>
      </c>
      <c r="B50" s="707" t="s">
        <v>548</v>
      </c>
      <c r="C50" s="707" t="s">
        <v>547</v>
      </c>
      <c r="D50" s="707" t="s">
        <v>546</v>
      </c>
      <c r="E50" s="708">
        <v>75000</v>
      </c>
      <c r="F50" s="707" t="s">
        <v>543</v>
      </c>
    </row>
    <row r="51" spans="1:14" x14ac:dyDescent="0.3">
      <c r="C51" s="706" t="s">
        <v>545</v>
      </c>
      <c r="E51" s="705">
        <f>+SUM(E35:E50)</f>
        <v>3995000</v>
      </c>
    </row>
    <row r="52" spans="1:14" x14ac:dyDescent="0.3">
      <c r="A52" s="703"/>
      <c r="B52" s="703"/>
      <c r="C52" s="704" t="s">
        <v>544</v>
      </c>
      <c r="D52" s="703"/>
      <c r="E52" s="702">
        <f>+E51</f>
        <v>3995000</v>
      </c>
      <c r="F52" s="701" t="s">
        <v>543</v>
      </c>
    </row>
    <row r="53" spans="1:14" x14ac:dyDescent="0.3">
      <c r="B53" s="726" t="s">
        <v>542</v>
      </c>
      <c r="C53" s="728"/>
      <c r="D53" s="728"/>
      <c r="E53" s="700">
        <f>+E26+E29+E32+E51</f>
        <v>5725000</v>
      </c>
      <c r="F53" s="699" t="s">
        <v>541</v>
      </c>
    </row>
  </sheetData>
  <sheetProtection algorithmName="SHA-512" hashValue="bS36pS2URStbXcfsygJbQzvcAVjBFy5+c7F9BDjhz0fTVrP5MUgecK07hWN7p0dfzx5JnGW/QdksXfwVf6e6Ow==" saltValue="BJYM1qXYhq5Smqn4Aj1xAg==" spinCount="100000" sheet="1" objects="1" scenarios="1"/>
  <mergeCells count="5">
    <mergeCell ref="B4:D4"/>
    <mergeCell ref="B30:D30"/>
    <mergeCell ref="B34:C34"/>
    <mergeCell ref="B27:D27"/>
    <mergeCell ref="B53:D5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059F-F25C-4520-9317-6C84C70DA81F}">
  <sheetPr codeName="Sheet14">
    <tabColor theme="0" tint="-0.34998626667073579"/>
    <pageSetUpPr fitToPage="1"/>
  </sheetPr>
  <dimension ref="A1:O37"/>
  <sheetViews>
    <sheetView workbookViewId="0">
      <selection activeCell="G28" sqref="G28"/>
    </sheetView>
  </sheetViews>
  <sheetFormatPr defaultColWidth="9.1796875" defaultRowHeight="12.5" x14ac:dyDescent="0.25"/>
  <cols>
    <col min="1" max="1" width="9.1796875" style="69"/>
    <col min="2" max="2" width="31.26953125" style="69" customWidth="1"/>
    <col min="3" max="3" width="9.81640625" style="69" customWidth="1"/>
    <col min="4" max="4" width="8.26953125" style="69" customWidth="1"/>
    <col min="5" max="5" width="9.81640625" style="69" customWidth="1"/>
    <col min="6" max="6" width="13.453125" style="69" customWidth="1"/>
    <col min="7" max="7" width="54.1796875" style="69" customWidth="1"/>
    <col min="8" max="16384" width="9.1796875" style="69"/>
  </cols>
  <sheetData>
    <row r="1" spans="1:7" ht="13" x14ac:dyDescent="0.3">
      <c r="A1" s="71"/>
      <c r="C1" s="97" t="s">
        <v>126</v>
      </c>
      <c r="D1" s="71"/>
      <c r="E1" s="71" t="s">
        <v>126</v>
      </c>
      <c r="F1" s="97" t="s">
        <v>125</v>
      </c>
    </row>
    <row r="2" spans="1:7" ht="13" x14ac:dyDescent="0.3">
      <c r="A2" s="100"/>
      <c r="B2" s="75" t="s">
        <v>172</v>
      </c>
      <c r="C2" s="100" t="s">
        <v>124</v>
      </c>
      <c r="D2" s="100" t="s">
        <v>123</v>
      </c>
      <c r="E2" s="75" t="s">
        <v>122</v>
      </c>
      <c r="F2" s="100" t="s">
        <v>122</v>
      </c>
      <c r="G2" s="75" t="s">
        <v>121</v>
      </c>
    </row>
    <row r="3" spans="1:7" ht="25.5" x14ac:dyDescent="0.3">
      <c r="A3" s="98" t="s">
        <v>171</v>
      </c>
      <c r="B3" s="71"/>
      <c r="C3" s="97"/>
      <c r="D3" s="97"/>
      <c r="E3" s="71"/>
      <c r="F3" s="97"/>
      <c r="G3" s="82" t="s">
        <v>170</v>
      </c>
    </row>
    <row r="4" spans="1:7" ht="13" x14ac:dyDescent="0.3">
      <c r="A4" s="98"/>
      <c r="B4" s="69" t="s">
        <v>169</v>
      </c>
      <c r="C4" s="89">
        <f>12*52</f>
        <v>624</v>
      </c>
      <c r="D4" s="89" t="s">
        <v>130</v>
      </c>
      <c r="E4" s="88">
        <v>80</v>
      </c>
      <c r="F4" s="88">
        <f t="shared" ref="F4:F10" si="0">+C4*E4</f>
        <v>49920</v>
      </c>
      <c r="G4" s="82" t="s">
        <v>168</v>
      </c>
    </row>
    <row r="5" spans="1:7" ht="13" x14ac:dyDescent="0.3">
      <c r="A5" s="97"/>
      <c r="B5" s="69" t="s">
        <v>167</v>
      </c>
      <c r="C5" s="89">
        <v>1</v>
      </c>
      <c r="D5" s="89" t="s">
        <v>117</v>
      </c>
      <c r="E5" s="88">
        <v>12000</v>
      </c>
      <c r="F5" s="88">
        <f t="shared" si="0"/>
        <v>12000</v>
      </c>
      <c r="G5" s="69" t="s">
        <v>166</v>
      </c>
    </row>
    <row r="6" spans="1:7" ht="13" x14ac:dyDescent="0.3">
      <c r="A6" s="97"/>
      <c r="B6" s="69" t="s">
        <v>165</v>
      </c>
      <c r="C6" s="89">
        <f>8*12</f>
        <v>96</v>
      </c>
      <c r="D6" s="89" t="s">
        <v>130</v>
      </c>
      <c r="E6" s="88">
        <v>40</v>
      </c>
      <c r="F6" s="88">
        <f t="shared" si="0"/>
        <v>3840</v>
      </c>
      <c r="G6" s="69" t="s">
        <v>173</v>
      </c>
    </row>
    <row r="7" spans="1:7" ht="25" x14ac:dyDescent="0.25">
      <c r="A7" s="99"/>
      <c r="B7" s="86" t="s">
        <v>164</v>
      </c>
      <c r="C7" s="85">
        <v>1</v>
      </c>
      <c r="D7" s="85" t="s">
        <v>117</v>
      </c>
      <c r="E7" s="84">
        <v>12300</v>
      </c>
      <c r="F7" s="84">
        <f t="shared" si="0"/>
        <v>12300</v>
      </c>
      <c r="G7" s="82" t="s">
        <v>163</v>
      </c>
    </row>
    <row r="8" spans="1:7" ht="13" x14ac:dyDescent="0.25">
      <c r="A8" s="99"/>
      <c r="B8" s="69" t="s">
        <v>162</v>
      </c>
      <c r="C8" s="89">
        <v>1</v>
      </c>
      <c r="D8" s="89" t="s">
        <v>117</v>
      </c>
      <c r="E8" s="88">
        <v>5500</v>
      </c>
      <c r="F8" s="84">
        <f t="shared" si="0"/>
        <v>5500</v>
      </c>
      <c r="G8" s="82" t="s">
        <v>161</v>
      </c>
    </row>
    <row r="9" spans="1:7" ht="25" x14ac:dyDescent="0.25">
      <c r="A9" s="99"/>
      <c r="B9" s="69" t="s">
        <v>160</v>
      </c>
      <c r="C9" s="89">
        <v>1</v>
      </c>
      <c r="D9" s="89" t="s">
        <v>117</v>
      </c>
      <c r="E9" s="88">
        <v>3000</v>
      </c>
      <c r="F9" s="84">
        <f t="shared" si="0"/>
        <v>3000</v>
      </c>
      <c r="G9" s="82" t="s">
        <v>159</v>
      </c>
    </row>
    <row r="10" spans="1:7" ht="13" x14ac:dyDescent="0.25">
      <c r="A10" s="99"/>
      <c r="B10" s="86" t="s">
        <v>158</v>
      </c>
      <c r="C10" s="85">
        <v>1</v>
      </c>
      <c r="D10" s="85" t="s">
        <v>117</v>
      </c>
      <c r="E10" s="84">
        <v>1000</v>
      </c>
      <c r="F10" s="84">
        <f t="shared" si="0"/>
        <v>1000</v>
      </c>
      <c r="G10" s="82" t="s">
        <v>157</v>
      </c>
    </row>
    <row r="11" spans="1:7" ht="13" x14ac:dyDescent="0.3">
      <c r="A11" s="95" t="s">
        <v>128</v>
      </c>
      <c r="B11" s="90"/>
      <c r="C11" s="93"/>
      <c r="D11" s="93"/>
      <c r="E11" s="92"/>
      <c r="F11" s="91">
        <f>+SUM(F4:F10)</f>
        <v>87560</v>
      </c>
      <c r="G11" s="94"/>
    </row>
    <row r="12" spans="1:7" ht="13" x14ac:dyDescent="0.3">
      <c r="A12" s="98" t="s">
        <v>156</v>
      </c>
      <c r="B12" s="71"/>
      <c r="C12" s="97"/>
      <c r="D12" s="97"/>
      <c r="E12" s="71"/>
      <c r="F12" s="97"/>
      <c r="G12" s="71"/>
    </row>
    <row r="13" spans="1:7" ht="13" x14ac:dyDescent="0.3">
      <c r="A13" s="71" t="s">
        <v>155</v>
      </c>
      <c r="G13" s="69" t="s">
        <v>174</v>
      </c>
    </row>
    <row r="14" spans="1:7" x14ac:dyDescent="0.25">
      <c r="A14" s="87"/>
      <c r="B14" s="69" t="s">
        <v>144</v>
      </c>
      <c r="C14" s="89">
        <f>2*10</f>
        <v>20</v>
      </c>
      <c r="D14" s="89" t="s">
        <v>130</v>
      </c>
      <c r="E14" s="88">
        <v>85</v>
      </c>
      <c r="F14" s="88">
        <f>+C14*E14</f>
        <v>1700</v>
      </c>
      <c r="G14" s="69" t="s">
        <v>175</v>
      </c>
    </row>
    <row r="15" spans="1:7" x14ac:dyDescent="0.25">
      <c r="A15" s="87"/>
      <c r="B15" s="69" t="s">
        <v>142</v>
      </c>
      <c r="C15" s="89">
        <f>4*4+4</f>
        <v>20</v>
      </c>
      <c r="D15" s="89" t="s">
        <v>141</v>
      </c>
      <c r="E15" s="88">
        <v>530</v>
      </c>
      <c r="F15" s="88">
        <f>+C15*E15</f>
        <v>10600</v>
      </c>
      <c r="G15" s="69" t="s">
        <v>154</v>
      </c>
    </row>
    <row r="16" spans="1:7" x14ac:dyDescent="0.25">
      <c r="A16" s="87"/>
      <c r="B16" s="69" t="s">
        <v>153</v>
      </c>
      <c r="C16" s="89">
        <v>1</v>
      </c>
      <c r="D16" s="89" t="s">
        <v>117</v>
      </c>
      <c r="E16" s="88">
        <v>2500</v>
      </c>
      <c r="F16" s="88">
        <f>+C16*E16</f>
        <v>2500</v>
      </c>
      <c r="G16" s="69" t="s">
        <v>152</v>
      </c>
    </row>
    <row r="17" spans="1:15" x14ac:dyDescent="0.25">
      <c r="A17" s="87"/>
      <c r="B17" s="69" t="s">
        <v>151</v>
      </c>
      <c r="C17" s="89">
        <v>1</v>
      </c>
      <c r="D17" s="89" t="s">
        <v>117</v>
      </c>
      <c r="E17" s="88">
        <v>1250</v>
      </c>
      <c r="F17" s="88">
        <f>+C17*E17</f>
        <v>1250</v>
      </c>
      <c r="G17" s="69" t="s">
        <v>150</v>
      </c>
    </row>
    <row r="18" spans="1:15" x14ac:dyDescent="0.25">
      <c r="A18" s="87"/>
      <c r="B18" s="69" t="s">
        <v>149</v>
      </c>
      <c r="C18" s="89">
        <v>4</v>
      </c>
      <c r="D18" s="89" t="s">
        <v>141</v>
      </c>
      <c r="E18" s="88">
        <v>250</v>
      </c>
      <c r="F18" s="96">
        <f>+C18*E18</f>
        <v>1000</v>
      </c>
      <c r="G18" s="69" t="s">
        <v>148</v>
      </c>
    </row>
    <row r="19" spans="1:15" ht="10.5" customHeight="1" x14ac:dyDescent="0.3">
      <c r="A19" s="87"/>
      <c r="B19" s="71" t="s">
        <v>137</v>
      </c>
      <c r="C19" s="89"/>
      <c r="D19" s="89"/>
      <c r="E19" s="88"/>
      <c r="F19" s="70">
        <f>+SUM(F14:F18)</f>
        <v>17050</v>
      </c>
    </row>
    <row r="20" spans="1:15" x14ac:dyDescent="0.25">
      <c r="A20" s="87"/>
      <c r="C20" s="89"/>
      <c r="D20" s="89"/>
      <c r="E20" s="88"/>
      <c r="F20" s="88"/>
    </row>
    <row r="21" spans="1:15" ht="13" x14ac:dyDescent="0.3">
      <c r="A21" s="71" t="s">
        <v>147</v>
      </c>
      <c r="C21" s="89"/>
      <c r="D21" s="89"/>
      <c r="E21" s="88"/>
      <c r="F21" s="88"/>
    </row>
    <row r="22" spans="1:15" ht="13" x14ac:dyDescent="0.3">
      <c r="A22" s="71"/>
      <c r="B22" s="69" t="s">
        <v>146</v>
      </c>
      <c r="C22" s="89">
        <v>240</v>
      </c>
      <c r="D22" s="89" t="s">
        <v>130</v>
      </c>
      <c r="E22" s="88">
        <v>110</v>
      </c>
      <c r="F22" s="88">
        <f>+C22*E22</f>
        <v>26400</v>
      </c>
      <c r="G22" s="69" t="s">
        <v>145</v>
      </c>
      <c r="H22" s="729"/>
      <c r="I22" s="729"/>
      <c r="J22" s="729"/>
      <c r="K22" s="729"/>
      <c r="L22" s="729"/>
      <c r="M22" s="729"/>
      <c r="N22" s="729"/>
      <c r="O22" s="729"/>
    </row>
    <row r="23" spans="1:15" ht="13" x14ac:dyDescent="0.3">
      <c r="A23" s="71"/>
      <c r="B23" s="69" t="s">
        <v>144</v>
      </c>
      <c r="C23" s="89">
        <f>2*4</f>
        <v>8</v>
      </c>
      <c r="D23" s="89" t="s">
        <v>130</v>
      </c>
      <c r="E23" s="88">
        <v>110</v>
      </c>
      <c r="F23" s="88">
        <f>+C23*E23</f>
        <v>880</v>
      </c>
      <c r="G23" s="69" t="s">
        <v>143</v>
      </c>
      <c r="H23" s="729"/>
      <c r="I23" s="729"/>
      <c r="J23" s="729"/>
      <c r="K23" s="729"/>
      <c r="L23" s="729"/>
      <c r="M23" s="729"/>
      <c r="N23" s="729"/>
      <c r="O23" s="729"/>
    </row>
    <row r="24" spans="1:15" ht="13" x14ac:dyDescent="0.3">
      <c r="A24" s="71"/>
      <c r="B24" s="69" t="s">
        <v>142</v>
      </c>
      <c r="C24" s="89">
        <f>2*4</f>
        <v>8</v>
      </c>
      <c r="D24" s="89" t="s">
        <v>141</v>
      </c>
      <c r="E24" s="88">
        <v>350</v>
      </c>
      <c r="F24" s="88">
        <f>+C24*E24</f>
        <v>2800</v>
      </c>
      <c r="G24" s="69" t="s">
        <v>140</v>
      </c>
    </row>
    <row r="25" spans="1:15" ht="13" x14ac:dyDescent="0.3">
      <c r="A25" s="71"/>
      <c r="B25" s="69" t="s">
        <v>139</v>
      </c>
      <c r="C25" s="89">
        <v>1</v>
      </c>
      <c r="D25" s="89" t="s">
        <v>117</v>
      </c>
      <c r="E25" s="88">
        <v>1000</v>
      </c>
      <c r="F25" s="96">
        <f>+C25*E25</f>
        <v>1000</v>
      </c>
      <c r="G25" s="69" t="s">
        <v>138</v>
      </c>
    </row>
    <row r="26" spans="1:15" ht="13" x14ac:dyDescent="0.3">
      <c r="B26" s="71" t="s">
        <v>137</v>
      </c>
      <c r="C26" s="89"/>
      <c r="D26" s="89"/>
      <c r="E26" s="88"/>
      <c r="F26" s="70">
        <f>+SUM(F22:F25)</f>
        <v>31080</v>
      </c>
    </row>
    <row r="27" spans="1:15" ht="13" x14ac:dyDescent="0.3">
      <c r="A27" s="95" t="s">
        <v>128</v>
      </c>
      <c r="B27" s="94"/>
      <c r="C27" s="93"/>
      <c r="D27" s="93"/>
      <c r="E27" s="92"/>
      <c r="F27" s="91">
        <f>+F19+F26</f>
        <v>48130</v>
      </c>
      <c r="G27" s="90"/>
    </row>
    <row r="28" spans="1:15" ht="13" x14ac:dyDescent="0.3">
      <c r="A28" s="71" t="s">
        <v>136</v>
      </c>
      <c r="C28" s="89"/>
      <c r="D28" s="89"/>
      <c r="E28" s="88"/>
      <c r="F28" s="88"/>
    </row>
    <row r="29" spans="1:15" ht="13" x14ac:dyDescent="0.3">
      <c r="A29" s="71"/>
      <c r="B29" s="69" t="s">
        <v>135</v>
      </c>
      <c r="C29" s="89">
        <f>8*12</f>
        <v>96</v>
      </c>
      <c r="D29" s="89" t="s">
        <v>130</v>
      </c>
      <c r="E29" s="88">
        <v>110</v>
      </c>
      <c r="F29" s="88">
        <f>+C29*E29</f>
        <v>10560</v>
      </c>
      <c r="G29" s="69" t="s">
        <v>134</v>
      </c>
    </row>
    <row r="30" spans="1:15" x14ac:dyDescent="0.25">
      <c r="A30" s="87"/>
      <c r="B30" s="69" t="s">
        <v>133</v>
      </c>
      <c r="C30" s="89">
        <f>32*4</f>
        <v>128</v>
      </c>
      <c r="D30" s="89" t="s">
        <v>130</v>
      </c>
      <c r="E30" s="88">
        <v>110</v>
      </c>
      <c r="F30" s="88">
        <f>+C30*E30</f>
        <v>14080</v>
      </c>
      <c r="G30" s="69" t="s">
        <v>132</v>
      </c>
      <c r="H30" s="730"/>
      <c r="I30" s="730"/>
      <c r="J30" s="730"/>
      <c r="K30" s="730"/>
      <c r="L30" s="730"/>
      <c r="M30" s="730"/>
      <c r="N30" s="730"/>
      <c r="O30" s="730"/>
    </row>
    <row r="31" spans="1:15" ht="25" x14ac:dyDescent="0.25">
      <c r="A31" s="87"/>
      <c r="B31" s="86" t="s">
        <v>131</v>
      </c>
      <c r="C31" s="85">
        <f>40*3+80+8*4+12*4</f>
        <v>280</v>
      </c>
      <c r="D31" s="85" t="s">
        <v>130</v>
      </c>
      <c r="E31" s="84">
        <v>110</v>
      </c>
      <c r="F31" s="83">
        <f>+C31*E31</f>
        <v>30800</v>
      </c>
      <c r="G31" s="82" t="s">
        <v>129</v>
      </c>
      <c r="H31" s="730"/>
      <c r="I31" s="730"/>
      <c r="J31" s="730"/>
      <c r="K31" s="730"/>
      <c r="L31" s="730"/>
      <c r="M31" s="730"/>
      <c r="N31" s="730"/>
      <c r="O31" s="730"/>
    </row>
    <row r="32" spans="1:15" ht="13.5" thickBot="1" x14ac:dyDescent="0.35">
      <c r="A32" s="81" t="s">
        <v>128</v>
      </c>
      <c r="B32" s="80"/>
      <c r="C32" s="79"/>
      <c r="D32" s="79"/>
      <c r="E32" s="78"/>
      <c r="F32" s="77">
        <f>+SUM(F29:F31)</f>
        <v>55440</v>
      </c>
      <c r="G32" s="76"/>
    </row>
    <row r="33" spans="1:7" ht="13.5" thickTop="1" x14ac:dyDescent="0.3">
      <c r="A33" s="75" t="s">
        <v>127</v>
      </c>
      <c r="B33" s="73"/>
      <c r="C33" s="73"/>
      <c r="D33" s="73"/>
      <c r="E33" s="73"/>
      <c r="F33" s="74">
        <f>+ROUNDUP(F11+F27+F32,-3)</f>
        <v>192000</v>
      </c>
      <c r="G33" s="73"/>
    </row>
    <row r="35" spans="1:7" ht="13" x14ac:dyDescent="0.3">
      <c r="A35" s="72"/>
    </row>
    <row r="36" spans="1:7" ht="13" x14ac:dyDescent="0.3">
      <c r="F36" s="70"/>
    </row>
    <row r="37" spans="1:7" ht="13" x14ac:dyDescent="0.3">
      <c r="B37" s="71"/>
      <c r="F37" s="70"/>
    </row>
  </sheetData>
  <sheetProtection algorithmName="SHA-512" hashValue="RoRTxSdYCgZjoZgZ229H0okJ3VqzYYTG92g+WQAIK2j12tHJ/maEpHCbS7AOIjzX0w3tWSTnFNaH/SHfOYIqIA==" saltValue="hxirudvvhh5u1yMbxZKKgQ==" spinCount="100000" sheet="1" objects="1" scenarios="1"/>
  <mergeCells count="2">
    <mergeCell ref="H22:O23"/>
    <mergeCell ref="H30:O31"/>
  </mergeCells>
  <pageMargins left="0.75" right="0.75" top="1" bottom="1" header="0.5" footer="0.5"/>
  <pageSetup scale="5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2E34-5843-4073-9ADF-C69628CAB8DC}">
  <sheetPr codeName="Sheet15">
    <tabColor theme="0" tint="-0.34998626667073579"/>
  </sheetPr>
  <dimension ref="A1:P29"/>
  <sheetViews>
    <sheetView workbookViewId="0">
      <selection activeCell="I24" sqref="I24"/>
    </sheetView>
  </sheetViews>
  <sheetFormatPr defaultColWidth="9.1796875" defaultRowHeight="12.5" x14ac:dyDescent="0.25"/>
  <cols>
    <col min="1" max="1" width="8.453125" style="299" customWidth="1"/>
    <col min="2" max="4" width="11" style="299" customWidth="1"/>
    <col min="5" max="5" width="8.81640625" style="299" customWidth="1"/>
    <col min="6" max="7" width="10.1796875" style="299" customWidth="1"/>
    <col min="8" max="8" width="0" style="299" hidden="1" customWidth="1"/>
    <col min="9" max="9" width="10.7265625" style="299" customWidth="1"/>
    <col min="10" max="10" width="12.7265625" style="299" customWidth="1"/>
    <col min="11" max="11" width="63.1796875" style="299" customWidth="1"/>
    <col min="12" max="12" width="12.1796875" style="299" bestFit="1" customWidth="1"/>
    <col min="13" max="13" width="9.1796875" style="299"/>
    <col min="14" max="14" width="12.1796875" style="299" bestFit="1" customWidth="1"/>
    <col min="15" max="16384" width="9.1796875" style="299"/>
  </cols>
  <sheetData>
    <row r="1" spans="1:16" ht="22.5" x14ac:dyDescent="0.3">
      <c r="A1" s="293"/>
      <c r="B1" s="294"/>
      <c r="C1" s="294"/>
      <c r="D1" s="294"/>
      <c r="E1" s="295"/>
      <c r="F1" s="295"/>
      <c r="G1" s="295"/>
      <c r="H1" s="296"/>
      <c r="I1" s="297" t="s">
        <v>70</v>
      </c>
      <c r="J1" s="298" t="s">
        <v>70</v>
      </c>
    </row>
    <row r="2" spans="1:16" ht="23.25" customHeight="1" thickBot="1" x14ac:dyDescent="0.3">
      <c r="A2" s="300" t="s">
        <v>279</v>
      </c>
      <c r="B2" s="301"/>
      <c r="C2" s="302"/>
      <c r="D2" s="302"/>
      <c r="E2" s="303"/>
      <c r="F2" s="303"/>
      <c r="G2" s="303"/>
      <c r="H2" s="304"/>
      <c r="I2" s="303"/>
      <c r="J2" s="305"/>
    </row>
    <row r="3" spans="1:16" ht="20.149999999999999" customHeight="1" thickTop="1" x14ac:dyDescent="0.25">
      <c r="A3" s="306" t="s">
        <v>190</v>
      </c>
      <c r="B3" s="307"/>
      <c r="C3" s="308"/>
      <c r="D3" s="308"/>
      <c r="E3" s="309" t="s">
        <v>191</v>
      </c>
      <c r="F3" s="307"/>
      <c r="G3" s="310" t="s">
        <v>70</v>
      </c>
      <c r="H3" s="307"/>
      <c r="I3" s="307" t="s">
        <v>192</v>
      </c>
      <c r="J3" s="311"/>
    </row>
    <row r="4" spans="1:16" ht="20.149999999999999" customHeight="1" x14ac:dyDescent="0.25">
      <c r="A4" s="312" t="s">
        <v>280</v>
      </c>
      <c r="B4" s="313"/>
      <c r="C4" s="314"/>
      <c r="D4" s="314"/>
      <c r="E4" s="315" t="s">
        <v>194</v>
      </c>
      <c r="F4" s="313"/>
      <c r="G4" s="316" t="s">
        <v>70</v>
      </c>
      <c r="H4" s="313"/>
      <c r="I4" s="317">
        <v>44560</v>
      </c>
      <c r="J4" s="318"/>
      <c r="L4" s="292" t="s">
        <v>120</v>
      </c>
      <c r="M4" s="292"/>
      <c r="N4" s="292"/>
      <c r="O4" s="68">
        <v>40.799999999999997</v>
      </c>
      <c r="P4" s="292" t="s">
        <v>119</v>
      </c>
    </row>
    <row r="5" spans="1:16" ht="20.149999999999999" customHeight="1" x14ac:dyDescent="0.25">
      <c r="A5" s="319"/>
      <c r="B5" s="731" t="s">
        <v>252</v>
      </c>
      <c r="C5" s="732"/>
      <c r="D5" s="732"/>
      <c r="E5" s="733"/>
      <c r="F5" s="320"/>
      <c r="G5" s="321"/>
      <c r="H5" s="322"/>
      <c r="I5" s="323"/>
      <c r="J5" s="324"/>
    </row>
    <row r="6" spans="1:16" ht="13" thickBot="1" x14ac:dyDescent="0.3">
      <c r="A6" s="325" t="s">
        <v>196</v>
      </c>
      <c r="B6" s="326" t="s">
        <v>197</v>
      </c>
      <c r="C6" s="326"/>
      <c r="D6" s="326"/>
      <c r="E6" s="327"/>
      <c r="F6" s="328" t="s">
        <v>198</v>
      </c>
      <c r="G6" s="328" t="s">
        <v>199</v>
      </c>
      <c r="H6" s="329"/>
      <c r="I6" s="328" t="s">
        <v>200</v>
      </c>
      <c r="J6" s="330" t="s">
        <v>201</v>
      </c>
      <c r="K6" s="331" t="s">
        <v>202</v>
      </c>
    </row>
    <row r="7" spans="1:16" ht="17.5" customHeight="1" x14ac:dyDescent="0.25">
      <c r="A7" s="332">
        <v>1</v>
      </c>
      <c r="B7" s="333" t="s">
        <v>203</v>
      </c>
      <c r="C7" s="334"/>
      <c r="D7" s="335"/>
      <c r="E7" s="336"/>
      <c r="F7" s="256">
        <v>1</v>
      </c>
      <c r="G7" s="337" t="s">
        <v>117</v>
      </c>
      <c r="H7" s="338"/>
      <c r="I7" s="339">
        <f>ROUNDUP(SUM(J11:J19)*0.05,-3)</f>
        <v>246000</v>
      </c>
      <c r="J7" s="340">
        <f>F7*I7</f>
        <v>246000</v>
      </c>
      <c r="K7" s="341" t="s">
        <v>204</v>
      </c>
    </row>
    <row r="8" spans="1:16" ht="17.5" customHeight="1" x14ac:dyDescent="0.25">
      <c r="A8" s="332">
        <v>2</v>
      </c>
      <c r="B8" s="333" t="s">
        <v>205</v>
      </c>
      <c r="C8" s="334"/>
      <c r="D8" s="335"/>
      <c r="E8" s="336"/>
      <c r="F8" s="256">
        <v>1</v>
      </c>
      <c r="G8" s="337" t="s">
        <v>117</v>
      </c>
      <c r="H8" s="342"/>
      <c r="I8" s="339">
        <f>ROUNDUP(SUM(J11:J19)*0.04,-3)</f>
        <v>197000</v>
      </c>
      <c r="J8" s="343">
        <f t="shared" ref="J8:J19" si="0">F8*I8</f>
        <v>197000</v>
      </c>
      <c r="K8" s="341" t="s">
        <v>206</v>
      </c>
    </row>
    <row r="9" spans="1:16" ht="17.5" customHeight="1" x14ac:dyDescent="0.25">
      <c r="A9" s="332"/>
      <c r="B9" s="333"/>
      <c r="C9" s="334"/>
      <c r="D9" s="344" t="s">
        <v>137</v>
      </c>
      <c r="E9" s="336"/>
      <c r="F9" s="256"/>
      <c r="G9" s="337"/>
      <c r="H9" s="342"/>
      <c r="I9" s="345"/>
      <c r="J9" s="346">
        <f>+SUM(J7:J8)</f>
        <v>443000</v>
      </c>
      <c r="K9" s="341"/>
    </row>
    <row r="10" spans="1:16" ht="17.5" customHeight="1" x14ac:dyDescent="0.25">
      <c r="A10" s="347"/>
      <c r="B10" s="734" t="s">
        <v>93</v>
      </c>
      <c r="C10" s="735"/>
      <c r="D10" s="735"/>
      <c r="E10" s="736"/>
      <c r="F10" s="320"/>
      <c r="G10" s="321"/>
      <c r="H10" s="322"/>
      <c r="I10" s="348"/>
      <c r="J10" s="349"/>
      <c r="K10" s="341"/>
    </row>
    <row r="11" spans="1:16" ht="17.5" customHeight="1" x14ac:dyDescent="0.25">
      <c r="A11" s="332">
        <v>3</v>
      </c>
      <c r="B11" s="333" t="s">
        <v>118</v>
      </c>
      <c r="C11" s="334"/>
      <c r="D11" s="335"/>
      <c r="E11" s="336"/>
      <c r="F11" s="259">
        <v>40.799999999999997</v>
      </c>
      <c r="G11" s="350" t="s">
        <v>112</v>
      </c>
      <c r="H11" s="342"/>
      <c r="I11" s="339">
        <v>2500</v>
      </c>
      <c r="J11" s="343">
        <f t="shared" si="0"/>
        <v>102000</v>
      </c>
      <c r="K11" s="341"/>
    </row>
    <row r="12" spans="1:16" ht="17.5" customHeight="1" x14ac:dyDescent="0.25">
      <c r="A12" s="332">
        <v>4</v>
      </c>
      <c r="B12" s="333" t="s">
        <v>281</v>
      </c>
      <c r="C12" s="334"/>
      <c r="D12" s="335"/>
      <c r="E12" s="336"/>
      <c r="F12" s="256">
        <f>ROUND(1777376*(24/12)/27,-3)</f>
        <v>132000</v>
      </c>
      <c r="G12" s="350" t="s">
        <v>116</v>
      </c>
      <c r="H12" s="342"/>
      <c r="I12" s="351">
        <v>8</v>
      </c>
      <c r="J12" s="343">
        <f t="shared" si="0"/>
        <v>1056000</v>
      </c>
      <c r="K12" s="341"/>
    </row>
    <row r="13" spans="1:16" ht="17.5" customHeight="1" x14ac:dyDescent="0.25">
      <c r="A13" s="332">
        <v>5</v>
      </c>
      <c r="B13" s="333" t="s">
        <v>282</v>
      </c>
      <c r="C13" s="334"/>
      <c r="D13" s="335"/>
      <c r="E13" s="336"/>
      <c r="F13" s="256">
        <f>ROUND(1777376*(18/12)/27,-3)</f>
        <v>99000</v>
      </c>
      <c r="G13" s="337" t="s">
        <v>116</v>
      </c>
      <c r="H13" s="342"/>
      <c r="I13" s="351">
        <v>20</v>
      </c>
      <c r="J13" s="343">
        <f t="shared" si="0"/>
        <v>1980000</v>
      </c>
      <c r="K13" s="341"/>
    </row>
    <row r="14" spans="1:16" ht="17.5" customHeight="1" x14ac:dyDescent="0.25">
      <c r="A14" s="332">
        <v>6</v>
      </c>
      <c r="B14" s="333" t="s">
        <v>283</v>
      </c>
      <c r="C14" s="334"/>
      <c r="D14" s="335"/>
      <c r="E14" s="336"/>
      <c r="F14" s="256">
        <f>+((O4*43560)*6/12)/27</f>
        <v>32911.999999999993</v>
      </c>
      <c r="G14" s="337" t="s">
        <v>116</v>
      </c>
      <c r="H14" s="342"/>
      <c r="I14" s="351">
        <v>5</v>
      </c>
      <c r="J14" s="343">
        <f t="shared" si="0"/>
        <v>164559.99999999997</v>
      </c>
      <c r="K14" s="341"/>
    </row>
    <row r="15" spans="1:16" ht="17.5" customHeight="1" x14ac:dyDescent="0.25">
      <c r="A15" s="332">
        <v>7</v>
      </c>
      <c r="B15" s="333" t="s">
        <v>284</v>
      </c>
      <c r="C15" s="334"/>
      <c r="D15" s="335"/>
      <c r="E15" s="336"/>
      <c r="F15" s="256">
        <f>ROUND($O$4*43560/9,-2)</f>
        <v>197500</v>
      </c>
      <c r="G15" s="337" t="s">
        <v>116</v>
      </c>
      <c r="H15" s="342"/>
      <c r="I15" s="351">
        <v>5.5</v>
      </c>
      <c r="J15" s="343">
        <f t="shared" si="0"/>
        <v>1086250</v>
      </c>
      <c r="K15" s="341"/>
    </row>
    <row r="16" spans="1:16" ht="17.5" customHeight="1" x14ac:dyDescent="0.25">
      <c r="A16" s="332">
        <v>8</v>
      </c>
      <c r="B16" s="333" t="s">
        <v>285</v>
      </c>
      <c r="C16" s="334"/>
      <c r="D16" s="335"/>
      <c r="E16" s="336"/>
      <c r="F16" s="256">
        <v>5025</v>
      </c>
      <c r="G16" s="337" t="s">
        <v>113</v>
      </c>
      <c r="H16" s="342"/>
      <c r="I16" s="351">
        <v>7.5</v>
      </c>
      <c r="J16" s="343">
        <f t="shared" si="0"/>
        <v>37687.5</v>
      </c>
      <c r="K16" s="341"/>
    </row>
    <row r="17" spans="1:14" ht="17.5" customHeight="1" x14ac:dyDescent="0.25">
      <c r="A17" s="332">
        <v>9</v>
      </c>
      <c r="B17" s="333" t="s">
        <v>114</v>
      </c>
      <c r="C17" s="334"/>
      <c r="D17" s="335"/>
      <c r="E17" s="336"/>
      <c r="F17" s="256">
        <v>7200</v>
      </c>
      <c r="G17" s="337" t="s">
        <v>113</v>
      </c>
      <c r="H17" s="342"/>
      <c r="I17" s="351">
        <v>22</v>
      </c>
      <c r="J17" s="343">
        <f t="shared" si="0"/>
        <v>158400</v>
      </c>
      <c r="K17" s="341"/>
    </row>
    <row r="18" spans="1:14" ht="17.5" customHeight="1" x14ac:dyDescent="0.25">
      <c r="A18" s="332">
        <v>10</v>
      </c>
      <c r="B18" s="333" t="s">
        <v>286</v>
      </c>
      <c r="C18" s="334"/>
      <c r="D18" s="335"/>
      <c r="E18" s="336"/>
      <c r="F18" s="256">
        <f>+ROUND((5025)*40/9,-2)</f>
        <v>22300</v>
      </c>
      <c r="G18" s="337" t="s">
        <v>115</v>
      </c>
      <c r="H18" s="342"/>
      <c r="I18" s="351">
        <v>11</v>
      </c>
      <c r="J18" s="343">
        <f t="shared" si="0"/>
        <v>245300</v>
      </c>
      <c r="K18" s="341"/>
    </row>
    <row r="19" spans="1:14" ht="17.5" customHeight="1" x14ac:dyDescent="0.25">
      <c r="A19" s="352">
        <v>11</v>
      </c>
      <c r="B19" s="353" t="s">
        <v>235</v>
      </c>
      <c r="C19" s="354"/>
      <c r="D19" s="335"/>
      <c r="E19" s="336"/>
      <c r="F19" s="259">
        <v>40.799999999999997</v>
      </c>
      <c r="G19" s="337" t="s">
        <v>112</v>
      </c>
      <c r="H19" s="342"/>
      <c r="I19" s="351">
        <v>2200</v>
      </c>
      <c r="J19" s="343">
        <f t="shared" si="0"/>
        <v>89760</v>
      </c>
      <c r="K19" s="341"/>
      <c r="M19" s="299">
        <f>571+797+648+849</f>
        <v>2865</v>
      </c>
      <c r="N19" s="299">
        <f>260+230+194+136</f>
        <v>820</v>
      </c>
    </row>
    <row r="20" spans="1:14" ht="17.5" customHeight="1" x14ac:dyDescent="0.25">
      <c r="A20" s="355"/>
      <c r="B20" s="356"/>
      <c r="C20" s="357"/>
      <c r="D20" s="358" t="s">
        <v>137</v>
      </c>
      <c r="E20" s="359"/>
      <c r="F20" s="360"/>
      <c r="G20" s="361"/>
      <c r="H20" s="362"/>
      <c r="I20" s="363"/>
      <c r="J20" s="364">
        <f>+SUM(J11:J19)</f>
        <v>4919957.5</v>
      </c>
      <c r="K20" s="341"/>
      <c r="L20" s="365"/>
    </row>
    <row r="21" spans="1:14" ht="17.5" customHeight="1" x14ac:dyDescent="0.25">
      <c r="A21" s="366"/>
      <c r="B21" s="302"/>
      <c r="C21" s="302" t="s">
        <v>70</v>
      </c>
      <c r="D21" s="302"/>
      <c r="E21" s="302"/>
      <c r="F21" s="367" t="s">
        <v>237</v>
      </c>
      <c r="G21" s="368"/>
      <c r="H21" s="368"/>
      <c r="I21" s="369"/>
      <c r="J21" s="370">
        <f>+J9+J20</f>
        <v>5362957.5</v>
      </c>
    </row>
    <row r="22" spans="1:14" ht="13" thickBot="1" x14ac:dyDescent="0.3">
      <c r="A22" s="366"/>
      <c r="E22" s="302"/>
      <c r="F22" s="371" t="s">
        <v>238</v>
      </c>
      <c r="G22" s="372"/>
      <c r="H22" s="372"/>
      <c r="I22" s="373">
        <v>0.25</v>
      </c>
      <c r="J22" s="374">
        <f>J21*I22</f>
        <v>1340739.375</v>
      </c>
    </row>
    <row r="23" spans="1:14" ht="17.5" customHeight="1" thickTop="1" x14ac:dyDescent="0.25">
      <c r="A23" s="375" t="s">
        <v>239</v>
      </c>
      <c r="B23" s="376"/>
      <c r="C23" s="376"/>
      <c r="D23" s="376"/>
      <c r="E23" s="302"/>
      <c r="F23" s="377" t="s">
        <v>240</v>
      </c>
      <c r="G23" s="378"/>
      <c r="H23" s="378"/>
      <c r="I23" s="201"/>
      <c r="J23" s="379">
        <f>SUM(J21:J22)</f>
        <v>6703696.875</v>
      </c>
    </row>
    <row r="24" spans="1:14" ht="18" customHeight="1" x14ac:dyDescent="0.25">
      <c r="A24" s="380" t="s">
        <v>241</v>
      </c>
      <c r="E24" s="302"/>
      <c r="F24" s="381" t="s">
        <v>242</v>
      </c>
      <c r="G24" s="382"/>
      <c r="H24" s="382"/>
      <c r="I24" s="383">
        <v>0.06</v>
      </c>
      <c r="J24" s="384">
        <f>J23*I24*1/3</f>
        <v>134073.9375</v>
      </c>
      <c r="K24" s="299" t="s">
        <v>243</v>
      </c>
    </row>
    <row r="25" spans="1:14" ht="17.5" customHeight="1" x14ac:dyDescent="0.25">
      <c r="A25" s="375" t="s">
        <v>244</v>
      </c>
      <c r="B25" s="385"/>
      <c r="C25" s="385"/>
      <c r="D25" s="385"/>
      <c r="E25" s="302"/>
      <c r="F25" s="386" t="s">
        <v>245</v>
      </c>
      <c r="G25" s="387"/>
      <c r="H25" s="387"/>
      <c r="I25" s="388"/>
      <c r="J25" s="389">
        <f>+ROUND(J23+J24,-3)</f>
        <v>6838000</v>
      </c>
      <c r="L25" s="299">
        <f>+J25*0.08</f>
        <v>547040</v>
      </c>
    </row>
    <row r="26" spans="1:14" ht="17.5" customHeight="1" x14ac:dyDescent="0.25">
      <c r="A26" s="390" t="s">
        <v>246</v>
      </c>
      <c r="B26" s="302"/>
      <c r="C26" s="302"/>
      <c r="D26" s="302"/>
      <c r="E26" s="302"/>
      <c r="G26" s="302"/>
      <c r="H26" s="302"/>
      <c r="I26" s="391"/>
      <c r="J26" s="392"/>
    </row>
    <row r="27" spans="1:14" ht="17.5" customHeight="1" x14ac:dyDescent="0.25">
      <c r="A27" s="737" t="s">
        <v>247</v>
      </c>
      <c r="B27" s="738"/>
      <c r="C27" s="738"/>
      <c r="D27" s="738"/>
      <c r="E27" s="738"/>
      <c r="F27" s="738"/>
      <c r="G27" s="738"/>
      <c r="H27" s="738"/>
      <c r="I27" s="738"/>
      <c r="J27" s="739"/>
    </row>
    <row r="28" spans="1:14" x14ac:dyDescent="0.25">
      <c r="A28" s="740"/>
      <c r="B28" s="741"/>
      <c r="C28" s="741"/>
      <c r="D28" s="741"/>
      <c r="E28" s="741"/>
      <c r="F28" s="741"/>
      <c r="G28" s="741"/>
      <c r="H28" s="741"/>
      <c r="I28" s="741"/>
      <c r="J28" s="742"/>
    </row>
    <row r="29" spans="1:14" ht="13" thickBot="1" x14ac:dyDescent="0.3">
      <c r="A29" s="743"/>
      <c r="B29" s="744"/>
      <c r="C29" s="744"/>
      <c r="D29" s="744"/>
      <c r="E29" s="744"/>
      <c r="F29" s="744"/>
      <c r="G29" s="744"/>
      <c r="H29" s="744"/>
      <c r="I29" s="744"/>
      <c r="J29" s="745"/>
    </row>
  </sheetData>
  <sheetProtection algorithmName="SHA-512" hashValue="vxEANO3PNs3GcY8hHpw6lR/bUcy5frYVA9XrUFbYU4b4LuILL3N77YFkaHeZru7wSD4Rf0zIL5K1q8enfOuB/g==" saltValue="QKUvNGeL8BAJ6IqbVfocrQ==" spinCount="100000" sheet="1" objects="1" scenarios="1"/>
  <mergeCells count="3">
    <mergeCell ref="B5:E5"/>
    <mergeCell ref="B10:E10"/>
    <mergeCell ref="A27:J2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880C6-8F2D-4E22-B0EC-AD5C5D5A0BF2}">
  <sheetPr codeName="Sheet16">
    <tabColor theme="0" tint="-0.34998626667073579"/>
  </sheetPr>
  <dimension ref="A1:O38"/>
  <sheetViews>
    <sheetView workbookViewId="0">
      <selection activeCell="G24" sqref="G24"/>
    </sheetView>
  </sheetViews>
  <sheetFormatPr defaultColWidth="9.1796875" defaultRowHeight="10" x14ac:dyDescent="0.25"/>
  <cols>
    <col min="1" max="1" width="8.453125" style="118" customWidth="1"/>
    <col min="2" max="4" width="11" style="118" customWidth="1"/>
    <col min="5" max="7" width="10.1796875" style="118" customWidth="1"/>
    <col min="8" max="8" width="0" style="118" hidden="1" customWidth="1"/>
    <col min="9" max="9" width="10.7265625" style="118" customWidth="1"/>
    <col min="10" max="10" width="12.7265625" style="118" customWidth="1"/>
    <col min="11" max="11" width="63.1796875" style="118" customWidth="1"/>
    <col min="12" max="12" width="12.1796875" style="118" bestFit="1" customWidth="1"/>
    <col min="13" max="13" width="9.1796875" style="118"/>
    <col min="14" max="14" width="12.1796875" style="118" bestFit="1" customWidth="1"/>
    <col min="15" max="16384" width="9.1796875" style="118"/>
  </cols>
  <sheetData>
    <row r="1" spans="1:11" ht="40.5" customHeight="1" x14ac:dyDescent="0.3">
      <c r="A1" s="112"/>
      <c r="B1" s="113"/>
      <c r="C1" s="113"/>
      <c r="D1" s="113"/>
      <c r="E1" s="114"/>
      <c r="F1" s="114"/>
      <c r="G1" s="114"/>
      <c r="H1" s="115"/>
      <c r="I1" s="116" t="s">
        <v>70</v>
      </c>
      <c r="J1" s="117" t="s">
        <v>70</v>
      </c>
    </row>
    <row r="2" spans="1:11" ht="20.149999999999999" customHeight="1" thickBot="1" x14ac:dyDescent="0.3">
      <c r="A2" s="119" t="s">
        <v>189</v>
      </c>
      <c r="B2" s="120"/>
      <c r="E2" s="121"/>
      <c r="F2" s="121"/>
      <c r="G2" s="121"/>
      <c r="H2" s="122"/>
      <c r="I2" s="121"/>
      <c r="J2" s="123"/>
    </row>
    <row r="3" spans="1:11" ht="20.149999999999999" customHeight="1" thickTop="1" x14ac:dyDescent="0.25">
      <c r="A3" s="124" t="s">
        <v>190</v>
      </c>
      <c r="B3" s="125"/>
      <c r="C3" s="126"/>
      <c r="D3" s="126"/>
      <c r="E3" s="127" t="s">
        <v>191</v>
      </c>
      <c r="F3" s="125"/>
      <c r="G3" s="128" t="s">
        <v>70</v>
      </c>
      <c r="H3" s="129"/>
      <c r="I3" s="125" t="s">
        <v>192</v>
      </c>
      <c r="J3" s="130">
        <v>44544</v>
      </c>
    </row>
    <row r="4" spans="1:11" ht="20.149999999999999" customHeight="1" x14ac:dyDescent="0.25">
      <c r="A4" s="131" t="s">
        <v>193</v>
      </c>
      <c r="B4" s="132"/>
      <c r="C4" s="133"/>
      <c r="D4" s="133"/>
      <c r="E4" s="134" t="s">
        <v>194</v>
      </c>
      <c r="F4" s="132"/>
      <c r="G4" s="135" t="s">
        <v>70</v>
      </c>
      <c r="H4" s="136"/>
      <c r="I4" s="137"/>
      <c r="J4" s="138"/>
    </row>
    <row r="5" spans="1:11" ht="20.149999999999999" customHeight="1" x14ac:dyDescent="0.25">
      <c r="A5" s="139"/>
      <c r="B5" s="746" t="s">
        <v>195</v>
      </c>
      <c r="C5" s="747"/>
      <c r="D5" s="747"/>
      <c r="E5" s="748"/>
      <c r="F5" s="140"/>
      <c r="G5" s="141"/>
      <c r="H5" s="142"/>
      <c r="I5" s="143"/>
      <c r="J5" s="144"/>
    </row>
    <row r="6" spans="1:11" ht="20.149999999999999" customHeight="1" thickBot="1" x14ac:dyDescent="0.3">
      <c r="A6" s="145" t="s">
        <v>196</v>
      </c>
      <c r="B6" s="146" t="s">
        <v>197</v>
      </c>
      <c r="C6" s="146"/>
      <c r="D6" s="146"/>
      <c r="E6" s="147"/>
      <c r="F6" s="148" t="s">
        <v>198</v>
      </c>
      <c r="G6" s="148" t="s">
        <v>199</v>
      </c>
      <c r="H6" s="149"/>
      <c r="I6" s="148" t="s">
        <v>200</v>
      </c>
      <c r="J6" s="150" t="s">
        <v>201</v>
      </c>
      <c r="K6" s="151" t="s">
        <v>202</v>
      </c>
    </row>
    <row r="7" spans="1:11" ht="17.5" customHeight="1" x14ac:dyDescent="0.25">
      <c r="A7" s="152">
        <v>1</v>
      </c>
      <c r="B7" s="118" t="s">
        <v>203</v>
      </c>
      <c r="C7" s="153"/>
      <c r="D7" s="154"/>
      <c r="E7" s="155"/>
      <c r="F7" s="156">
        <v>1</v>
      </c>
      <c r="G7" s="157" t="s">
        <v>117</v>
      </c>
      <c r="H7" s="158"/>
      <c r="I7" s="159">
        <f>ROUNDUP(+L28*0.05,-3)</f>
        <v>189000</v>
      </c>
      <c r="J7" s="160">
        <f>F7*I7</f>
        <v>189000</v>
      </c>
      <c r="K7" s="161" t="s">
        <v>204</v>
      </c>
    </row>
    <row r="8" spans="1:11" ht="17.5" customHeight="1" x14ac:dyDescent="0.25">
      <c r="A8" s="162">
        <v>2</v>
      </c>
      <c r="B8" s="163" t="s">
        <v>205</v>
      </c>
      <c r="C8" s="164"/>
      <c r="D8" s="165"/>
      <c r="E8" s="166"/>
      <c r="F8" s="167">
        <v>1</v>
      </c>
      <c r="G8" s="168" t="s">
        <v>117</v>
      </c>
      <c r="H8" s="169"/>
      <c r="I8" s="159">
        <f>ROUNDUP(+L28*0.04,-3)</f>
        <v>151000</v>
      </c>
      <c r="J8" s="170">
        <f t="shared" ref="J8:J28" si="0">F8*I8</f>
        <v>151000</v>
      </c>
      <c r="K8" s="161" t="s">
        <v>206</v>
      </c>
    </row>
    <row r="9" spans="1:11" ht="17.5" customHeight="1" x14ac:dyDescent="0.25">
      <c r="A9" s="162"/>
      <c r="B9" s="163"/>
      <c r="C9" s="164"/>
      <c r="D9" s="171" t="s">
        <v>207</v>
      </c>
      <c r="E9" s="166"/>
      <c r="F9" s="167"/>
      <c r="G9" s="168"/>
      <c r="H9" s="169"/>
      <c r="I9" s="159"/>
      <c r="J9" s="172">
        <f>+SUM(J7:J8)</f>
        <v>340000</v>
      </c>
      <c r="K9" s="161"/>
    </row>
    <row r="10" spans="1:11" ht="17.5" customHeight="1" x14ac:dyDescent="0.25">
      <c r="A10" s="173"/>
      <c r="B10" s="749" t="s">
        <v>208</v>
      </c>
      <c r="C10" s="750"/>
      <c r="D10" s="750"/>
      <c r="E10" s="751"/>
      <c r="F10" s="140"/>
      <c r="G10" s="141"/>
      <c r="H10" s="142"/>
      <c r="I10" s="174"/>
      <c r="J10" s="175"/>
      <c r="K10" s="161"/>
    </row>
    <row r="11" spans="1:11" ht="17.5" customHeight="1" x14ac:dyDescent="0.25">
      <c r="A11" s="162">
        <v>3</v>
      </c>
      <c r="B11" s="163" t="s">
        <v>118</v>
      </c>
      <c r="C11" s="164"/>
      <c r="D11" s="165"/>
      <c r="E11" s="166"/>
      <c r="F11" s="255">
        <v>16.100000000000001</v>
      </c>
      <c r="G11" s="176" t="s">
        <v>112</v>
      </c>
      <c r="H11" s="169"/>
      <c r="I11" s="177">
        <v>2500</v>
      </c>
      <c r="J11" s="170">
        <f t="shared" si="0"/>
        <v>40250</v>
      </c>
      <c r="K11" s="161"/>
    </row>
    <row r="12" spans="1:11" ht="17.5" customHeight="1" x14ac:dyDescent="0.25">
      <c r="A12" s="162">
        <v>4</v>
      </c>
      <c r="B12" s="163" t="s">
        <v>209</v>
      </c>
      <c r="C12" s="164"/>
      <c r="D12" s="165"/>
      <c r="E12" s="166"/>
      <c r="F12" s="256">
        <v>52000</v>
      </c>
      <c r="G12" s="176" t="s">
        <v>116</v>
      </c>
      <c r="H12" s="169"/>
      <c r="I12" s="178">
        <v>1.35</v>
      </c>
      <c r="J12" s="170">
        <f t="shared" si="0"/>
        <v>70200</v>
      </c>
      <c r="K12" s="161"/>
    </row>
    <row r="13" spans="1:11" ht="17.5" customHeight="1" x14ac:dyDescent="0.25">
      <c r="A13" s="162">
        <v>5</v>
      </c>
      <c r="B13" s="163" t="s">
        <v>210</v>
      </c>
      <c r="C13" s="164"/>
      <c r="D13" s="165"/>
      <c r="E13" s="166"/>
      <c r="F13" s="256">
        <f>872556-F12</f>
        <v>820556</v>
      </c>
      <c r="G13" s="168" t="s">
        <v>116</v>
      </c>
      <c r="H13" s="169"/>
      <c r="I13" s="178">
        <v>1.25</v>
      </c>
      <c r="J13" s="170">
        <f t="shared" si="0"/>
        <v>1025695</v>
      </c>
      <c r="K13" s="161"/>
    </row>
    <row r="14" spans="1:11" ht="17.5" customHeight="1" x14ac:dyDescent="0.25">
      <c r="A14" s="162">
        <v>6</v>
      </c>
      <c r="B14" s="163" t="s">
        <v>211</v>
      </c>
      <c r="C14" s="164"/>
      <c r="D14" s="165"/>
      <c r="E14" s="166"/>
      <c r="F14" s="256">
        <f>127199</f>
        <v>127199</v>
      </c>
      <c r="G14" s="168" t="s">
        <v>116</v>
      </c>
      <c r="H14" s="169"/>
      <c r="I14" s="178">
        <v>2.25</v>
      </c>
      <c r="J14" s="170">
        <f t="shared" si="0"/>
        <v>286197.75</v>
      </c>
      <c r="K14" s="161"/>
    </row>
    <row r="15" spans="1:11" ht="17.5" customHeight="1" x14ac:dyDescent="0.25">
      <c r="A15" s="162">
        <v>7</v>
      </c>
      <c r="B15" s="163" t="s">
        <v>212</v>
      </c>
      <c r="C15" s="164"/>
      <c r="D15" s="165"/>
      <c r="E15" s="166"/>
      <c r="F15" s="256">
        <f>F13-F14</f>
        <v>693357</v>
      </c>
      <c r="G15" s="168" t="s">
        <v>116</v>
      </c>
      <c r="H15" s="169"/>
      <c r="I15" s="178">
        <v>1</v>
      </c>
      <c r="J15" s="170">
        <f t="shared" si="0"/>
        <v>693357</v>
      </c>
      <c r="K15" s="161" t="s">
        <v>213</v>
      </c>
    </row>
    <row r="16" spans="1:11" ht="17.5" customHeight="1" x14ac:dyDescent="0.25">
      <c r="A16" s="162">
        <v>8</v>
      </c>
      <c r="B16" s="163" t="s">
        <v>214</v>
      </c>
      <c r="C16" s="164"/>
      <c r="D16" s="165"/>
      <c r="E16" s="166"/>
      <c r="F16" s="256">
        <v>56901</v>
      </c>
      <c r="G16" s="168" t="s">
        <v>115</v>
      </c>
      <c r="H16" s="169"/>
      <c r="I16" s="178">
        <v>0.5</v>
      </c>
      <c r="J16" s="170">
        <f t="shared" si="0"/>
        <v>28450.5</v>
      </c>
      <c r="K16" s="161" t="s">
        <v>215</v>
      </c>
    </row>
    <row r="17" spans="1:15" ht="17.5" customHeight="1" x14ac:dyDescent="0.25">
      <c r="A17" s="162">
        <v>9</v>
      </c>
      <c r="B17" s="163" t="s">
        <v>216</v>
      </c>
      <c r="C17" s="164"/>
      <c r="D17" s="165"/>
      <c r="E17" s="166"/>
      <c r="F17" s="256">
        <f>+F16</f>
        <v>56901</v>
      </c>
      <c r="G17" s="168" t="s">
        <v>115</v>
      </c>
      <c r="H17" s="169"/>
      <c r="I17" s="178">
        <v>5.5</v>
      </c>
      <c r="J17" s="170">
        <f t="shared" si="0"/>
        <v>312955.5</v>
      </c>
      <c r="K17" s="161" t="s">
        <v>217</v>
      </c>
    </row>
    <row r="18" spans="1:15" ht="17.5" customHeight="1" x14ac:dyDescent="0.25">
      <c r="A18" s="162">
        <v>10</v>
      </c>
      <c r="B18" s="163" t="s">
        <v>218</v>
      </c>
      <c r="C18" s="164"/>
      <c r="D18" s="165"/>
      <c r="E18" s="166"/>
      <c r="F18" s="256">
        <f>+F17</f>
        <v>56901</v>
      </c>
      <c r="G18" s="168" t="s">
        <v>115</v>
      </c>
      <c r="H18" s="169"/>
      <c r="I18" s="178">
        <v>5.75</v>
      </c>
      <c r="J18" s="170">
        <f t="shared" si="0"/>
        <v>327180.75</v>
      </c>
      <c r="K18" s="161" t="s">
        <v>219</v>
      </c>
    </row>
    <row r="19" spans="1:15" ht="17.5" customHeight="1" x14ac:dyDescent="0.25">
      <c r="A19" s="162">
        <v>11</v>
      </c>
      <c r="B19" s="163" t="s">
        <v>220</v>
      </c>
      <c r="C19" s="164"/>
      <c r="D19" s="165"/>
      <c r="E19" s="166"/>
      <c r="F19" s="256">
        <f>+F18*9*1.5/27</f>
        <v>28450.5</v>
      </c>
      <c r="G19" s="168" t="s">
        <v>116</v>
      </c>
      <c r="H19" s="169"/>
      <c r="I19" s="178">
        <v>20</v>
      </c>
      <c r="J19" s="170">
        <f t="shared" si="0"/>
        <v>569010</v>
      </c>
      <c r="K19" s="161" t="s">
        <v>221</v>
      </c>
    </row>
    <row r="20" spans="1:15" ht="17.5" customHeight="1" x14ac:dyDescent="0.25">
      <c r="A20" s="162">
        <v>12</v>
      </c>
      <c r="B20" s="163" t="s">
        <v>222</v>
      </c>
      <c r="C20" s="164"/>
      <c r="D20" s="165"/>
      <c r="E20" s="166"/>
      <c r="F20" s="257">
        <v>1955</v>
      </c>
      <c r="G20" s="168" t="s">
        <v>113</v>
      </c>
      <c r="H20" s="169"/>
      <c r="I20" s="178">
        <v>65</v>
      </c>
      <c r="J20" s="170">
        <f t="shared" si="0"/>
        <v>127075</v>
      </c>
      <c r="K20" s="161" t="s">
        <v>223</v>
      </c>
      <c r="M20" s="118">
        <f>571+797+648+849</f>
        <v>2865</v>
      </c>
      <c r="N20" s="118">
        <f>260+230+194+136</f>
        <v>820</v>
      </c>
    </row>
    <row r="21" spans="1:15" ht="17.5" customHeight="1" x14ac:dyDescent="0.25">
      <c r="A21" s="162">
        <v>13</v>
      </c>
      <c r="B21" s="163" t="s">
        <v>224</v>
      </c>
      <c r="C21" s="164"/>
      <c r="D21" s="165"/>
      <c r="E21" s="166"/>
      <c r="F21" s="257">
        <v>950</v>
      </c>
      <c r="G21" s="168" t="s">
        <v>113</v>
      </c>
      <c r="H21" s="169"/>
      <c r="I21" s="178">
        <v>30</v>
      </c>
      <c r="J21" s="170">
        <f t="shared" si="0"/>
        <v>28500</v>
      </c>
      <c r="K21" s="161"/>
    </row>
    <row r="22" spans="1:15" ht="17.5" customHeight="1" x14ac:dyDescent="0.25">
      <c r="A22" s="162">
        <v>14</v>
      </c>
      <c r="B22" s="163" t="s">
        <v>225</v>
      </c>
      <c r="C22" s="164"/>
      <c r="D22" s="165"/>
      <c r="E22" s="166"/>
      <c r="F22" s="258">
        <v>1</v>
      </c>
      <c r="G22" s="168" t="s">
        <v>117</v>
      </c>
      <c r="H22" s="169"/>
      <c r="I22" s="177">
        <v>40000</v>
      </c>
      <c r="J22" s="170">
        <f t="shared" si="0"/>
        <v>40000</v>
      </c>
      <c r="K22" s="161"/>
      <c r="M22" s="118" t="s">
        <v>70</v>
      </c>
    </row>
    <row r="23" spans="1:15" ht="17.5" customHeight="1" x14ac:dyDescent="0.25">
      <c r="A23" s="162">
        <v>15</v>
      </c>
      <c r="B23" s="163" t="s">
        <v>226</v>
      </c>
      <c r="C23" s="164"/>
      <c r="D23" s="165"/>
      <c r="E23" s="166"/>
      <c r="F23" s="257">
        <v>400</v>
      </c>
      <c r="G23" s="168" t="s">
        <v>113</v>
      </c>
      <c r="H23" s="169"/>
      <c r="I23" s="178">
        <v>75</v>
      </c>
      <c r="J23" s="170">
        <f t="shared" si="0"/>
        <v>30000</v>
      </c>
      <c r="K23" s="161"/>
    </row>
    <row r="24" spans="1:15" ht="17.5" customHeight="1" x14ac:dyDescent="0.25">
      <c r="A24" s="162">
        <v>16</v>
      </c>
      <c r="B24" s="163" t="s">
        <v>227</v>
      </c>
      <c r="C24" s="164"/>
      <c r="D24" s="165"/>
      <c r="E24" s="166"/>
      <c r="F24" s="257">
        <v>350</v>
      </c>
      <c r="G24" s="168" t="s">
        <v>113</v>
      </c>
      <c r="H24" s="169"/>
      <c r="I24" s="178">
        <v>30</v>
      </c>
      <c r="J24" s="170">
        <f t="shared" si="0"/>
        <v>10500</v>
      </c>
      <c r="K24" s="161"/>
    </row>
    <row r="25" spans="1:15" ht="17.5" customHeight="1" x14ac:dyDescent="0.25">
      <c r="A25" s="162">
        <v>17</v>
      </c>
      <c r="B25" s="163" t="s">
        <v>228</v>
      </c>
      <c r="C25" s="164"/>
      <c r="D25" s="165"/>
      <c r="E25" s="166"/>
      <c r="F25" s="258">
        <v>1</v>
      </c>
      <c r="G25" s="168" t="s">
        <v>117</v>
      </c>
      <c r="H25" s="169"/>
      <c r="I25" s="177">
        <v>25000</v>
      </c>
      <c r="J25" s="170">
        <f t="shared" si="0"/>
        <v>25000</v>
      </c>
      <c r="K25" s="161" t="s">
        <v>229</v>
      </c>
    </row>
    <row r="26" spans="1:15" ht="17.5" customHeight="1" x14ac:dyDescent="0.25">
      <c r="A26" s="162">
        <v>18</v>
      </c>
      <c r="B26" s="163" t="s">
        <v>230</v>
      </c>
      <c r="C26" s="164"/>
      <c r="D26" s="165"/>
      <c r="E26" s="166"/>
      <c r="F26" s="257">
        <f>1000*40/9</f>
        <v>4444.4444444444443</v>
      </c>
      <c r="G26" s="168" t="s">
        <v>115</v>
      </c>
      <c r="H26" s="169"/>
      <c r="I26" s="178">
        <v>22</v>
      </c>
      <c r="J26" s="170">
        <f t="shared" si="0"/>
        <v>97777.777777777781</v>
      </c>
      <c r="K26" s="161" t="s">
        <v>231</v>
      </c>
      <c r="L26" s="118" t="s">
        <v>232</v>
      </c>
      <c r="N26" s="179">
        <f>170+120</f>
        <v>290</v>
      </c>
      <c r="O26" s="118" t="s">
        <v>233</v>
      </c>
    </row>
    <row r="27" spans="1:15" ht="17.5" customHeight="1" x14ac:dyDescent="0.25">
      <c r="A27" s="162">
        <v>19</v>
      </c>
      <c r="B27" s="163" t="s">
        <v>234</v>
      </c>
      <c r="C27" s="164"/>
      <c r="D27" s="165"/>
      <c r="E27" s="166"/>
      <c r="F27" s="258">
        <v>1</v>
      </c>
      <c r="G27" s="168" t="s">
        <v>117</v>
      </c>
      <c r="H27" s="169"/>
      <c r="I27" s="177">
        <v>50000</v>
      </c>
      <c r="J27" s="170">
        <f t="shared" si="0"/>
        <v>50000</v>
      </c>
      <c r="K27" s="161"/>
    </row>
    <row r="28" spans="1:15" ht="17.5" customHeight="1" x14ac:dyDescent="0.25">
      <c r="A28" s="260">
        <v>20</v>
      </c>
      <c r="B28" s="261" t="s">
        <v>235</v>
      </c>
      <c r="C28" s="262"/>
      <c r="D28" s="263"/>
      <c r="E28" s="264"/>
      <c r="F28" s="265">
        <v>10</v>
      </c>
      <c r="G28" s="266" t="s">
        <v>112</v>
      </c>
      <c r="H28" s="267"/>
      <c r="I28" s="268">
        <v>2200</v>
      </c>
      <c r="J28" s="269">
        <f t="shared" si="0"/>
        <v>22000</v>
      </c>
      <c r="K28" s="161" t="s">
        <v>236</v>
      </c>
      <c r="L28" s="180">
        <f>SUM(J11:J27)</f>
        <v>3762149.277777778</v>
      </c>
    </row>
    <row r="29" spans="1:15" ht="17.5" customHeight="1" thickBot="1" x14ac:dyDescent="0.3">
      <c r="A29" s="181"/>
      <c r="B29" s="182"/>
      <c r="C29" s="183"/>
      <c r="D29" s="171" t="s">
        <v>207</v>
      </c>
      <c r="E29" s="184"/>
      <c r="F29" s="185"/>
      <c r="G29" s="186"/>
      <c r="H29" s="187"/>
      <c r="I29" s="188"/>
      <c r="J29" s="189">
        <f>+SUM(J11:J28)</f>
        <v>3784149.277777778</v>
      </c>
      <c r="K29" s="161"/>
      <c r="L29" s="180"/>
    </row>
    <row r="30" spans="1:15" ht="17.5" customHeight="1" x14ac:dyDescent="0.25">
      <c r="A30" s="190"/>
      <c r="C30" s="118" t="s">
        <v>70</v>
      </c>
      <c r="F30" s="191" t="s">
        <v>237</v>
      </c>
      <c r="G30" s="192"/>
      <c r="H30" s="192"/>
      <c r="I30" s="193"/>
      <c r="J30" s="194">
        <f>+J9+J29</f>
        <v>4124149.277777778</v>
      </c>
    </row>
    <row r="31" spans="1:15" ht="17.5" customHeight="1" thickBot="1" x14ac:dyDescent="0.3">
      <c r="A31" s="190"/>
      <c r="F31" s="195" t="s">
        <v>238</v>
      </c>
      <c r="G31" s="163"/>
      <c r="H31" s="163"/>
      <c r="I31" s="196">
        <v>0.2</v>
      </c>
      <c r="J31" s="197">
        <f>J30*I31</f>
        <v>824829.85555555567</v>
      </c>
    </row>
    <row r="32" spans="1:15" ht="17.5" customHeight="1" thickTop="1" x14ac:dyDescent="0.25">
      <c r="A32" s="198" t="s">
        <v>260</v>
      </c>
      <c r="B32" s="132"/>
      <c r="C32" s="132"/>
      <c r="D32" s="132"/>
      <c r="F32" s="199" t="s">
        <v>240</v>
      </c>
      <c r="G32" s="200"/>
      <c r="H32" s="200"/>
      <c r="I32" s="201"/>
      <c r="J32" s="202">
        <f>SUM(J30:J31)</f>
        <v>4948979.1333333338</v>
      </c>
    </row>
    <row r="33" spans="1:12" ht="18" customHeight="1" x14ac:dyDescent="0.25">
      <c r="A33" s="203" t="s">
        <v>241</v>
      </c>
      <c r="F33" s="204" t="s">
        <v>242</v>
      </c>
      <c r="G33" s="205"/>
      <c r="H33" s="205"/>
      <c r="I33" s="206">
        <v>0.06</v>
      </c>
      <c r="J33" s="207">
        <f>J32*I33*1/3</f>
        <v>98979.582666666669</v>
      </c>
      <c r="K33" s="118" t="s">
        <v>243</v>
      </c>
    </row>
    <row r="34" spans="1:12" ht="17.5" customHeight="1" thickBot="1" x14ac:dyDescent="0.3">
      <c r="A34" s="198" t="s">
        <v>244</v>
      </c>
      <c r="B34" s="132"/>
      <c r="C34" s="132"/>
      <c r="D34" s="132"/>
      <c r="F34" s="208" t="s">
        <v>245</v>
      </c>
      <c r="G34" s="209"/>
      <c r="H34" s="209"/>
      <c r="I34" s="210"/>
      <c r="J34" s="211">
        <f>+ROUND(J32+J33,-3)</f>
        <v>5048000</v>
      </c>
    </row>
    <row r="35" spans="1:12" ht="17.5" customHeight="1" thickBot="1" x14ac:dyDescent="0.3">
      <c r="A35" s="190" t="s">
        <v>246</v>
      </c>
      <c r="I35" s="212"/>
      <c r="J35" s="213"/>
      <c r="L35" s="118" t="e">
        <f>+#REF!/#REF!</f>
        <v>#REF!</v>
      </c>
    </row>
    <row r="36" spans="1:12" ht="17.5" customHeight="1" x14ac:dyDescent="0.25">
      <c r="A36" s="752" t="s">
        <v>247</v>
      </c>
      <c r="B36" s="753"/>
      <c r="C36" s="753"/>
      <c r="D36" s="753"/>
      <c r="E36" s="753"/>
      <c r="F36" s="753"/>
      <c r="G36" s="753"/>
      <c r="H36" s="753"/>
      <c r="I36" s="753"/>
      <c r="J36" s="754"/>
    </row>
    <row r="37" spans="1:12" x14ac:dyDescent="0.25">
      <c r="A37" s="755"/>
      <c r="B37" s="756"/>
      <c r="C37" s="756"/>
      <c r="D37" s="756"/>
      <c r="E37" s="756"/>
      <c r="F37" s="756"/>
      <c r="G37" s="756"/>
      <c r="H37" s="756"/>
      <c r="I37" s="756"/>
      <c r="J37" s="757"/>
    </row>
    <row r="38" spans="1:12" ht="10.5" thickBot="1" x14ac:dyDescent="0.3">
      <c r="A38" s="758"/>
      <c r="B38" s="759"/>
      <c r="C38" s="759"/>
      <c r="D38" s="759"/>
      <c r="E38" s="759"/>
      <c r="F38" s="759"/>
      <c r="G38" s="759"/>
      <c r="H38" s="759"/>
      <c r="I38" s="759"/>
      <c r="J38" s="760"/>
    </row>
  </sheetData>
  <sheetProtection algorithmName="SHA-512" hashValue="GZlw2unt6AEMvs2YEz5lTaGZUxig3+LRBEZGqHWITSX5TgHPTwZR7dBtIv2Oh04oU4Os6XqI+VO3UPBRtgFh9g==" saltValue="5+KSFuplJJxvUb80lPMdzg==" spinCount="100000" sheet="1" objects="1" scenarios="1"/>
  <mergeCells count="3">
    <mergeCell ref="B5:E5"/>
    <mergeCell ref="B10:E10"/>
    <mergeCell ref="A36:J38"/>
  </mergeCells>
  <printOptions horizontalCentered="1"/>
  <pageMargins left="0.75" right="0.75" top="1" bottom="1" header="0.5" footer="0.5"/>
  <pageSetup scale="73" orientation="portrait" r:id="rId1"/>
  <headerFooter alignWithMargins="0">
    <oddFooter>&amp;R&amp;D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B48FD-154E-4DD6-BE81-BA29003FCA6B}">
  <sheetPr codeName="Sheet17">
    <tabColor theme="0" tint="-0.34998626667073579"/>
    <pageSetUpPr fitToPage="1"/>
  </sheetPr>
  <dimension ref="A1:O45"/>
  <sheetViews>
    <sheetView topLeftCell="A3" workbookViewId="0">
      <selection activeCell="G23" sqref="G23"/>
    </sheetView>
  </sheetViews>
  <sheetFormatPr defaultColWidth="9.1796875" defaultRowHeight="10" x14ac:dyDescent="0.25"/>
  <cols>
    <col min="1" max="1" width="8.453125" style="118" customWidth="1"/>
    <col min="2" max="4" width="11" style="118" customWidth="1"/>
    <col min="5" max="7" width="10.1796875" style="118" customWidth="1"/>
    <col min="8" max="8" width="0" style="118" hidden="1" customWidth="1"/>
    <col min="9" max="9" width="10.7265625" style="118" customWidth="1"/>
    <col min="10" max="10" width="12.7265625" style="118" customWidth="1"/>
    <col min="11" max="11" width="63.1796875" style="118" customWidth="1"/>
    <col min="12" max="12" width="12.1796875" style="118" bestFit="1" customWidth="1"/>
    <col min="13" max="13" width="9.1796875" style="118"/>
    <col min="14" max="14" width="12.1796875" style="118" bestFit="1" customWidth="1"/>
    <col min="15" max="16384" width="9.1796875" style="118"/>
  </cols>
  <sheetData>
    <row r="1" spans="1:11" ht="40.5" customHeight="1" x14ac:dyDescent="0.3">
      <c r="A1" s="112"/>
      <c r="B1" s="113"/>
      <c r="C1" s="113"/>
      <c r="D1" s="113"/>
      <c r="E1" s="114"/>
      <c r="F1" s="114"/>
      <c r="G1" s="114"/>
      <c r="H1" s="115"/>
      <c r="I1" s="116" t="s">
        <v>70</v>
      </c>
      <c r="J1" s="117" t="s">
        <v>70</v>
      </c>
    </row>
    <row r="2" spans="1:11" ht="20.149999999999999" customHeight="1" thickBot="1" x14ac:dyDescent="0.3">
      <c r="A2" s="119" t="s">
        <v>189</v>
      </c>
      <c r="B2" s="120"/>
      <c r="E2" s="121"/>
      <c r="F2" s="121"/>
      <c r="G2" s="121"/>
      <c r="H2" s="122"/>
      <c r="I2" s="121"/>
      <c r="J2" s="123"/>
    </row>
    <row r="3" spans="1:11" ht="20.149999999999999" customHeight="1" thickTop="1" x14ac:dyDescent="0.25">
      <c r="A3" s="124" t="s">
        <v>190</v>
      </c>
      <c r="B3" s="125"/>
      <c r="C3" s="126"/>
      <c r="D3" s="126"/>
      <c r="E3" s="127" t="s">
        <v>191</v>
      </c>
      <c r="F3" s="125"/>
      <c r="G3" s="128" t="s">
        <v>70</v>
      </c>
      <c r="H3" s="129"/>
      <c r="I3" s="125" t="s">
        <v>192</v>
      </c>
      <c r="J3" s="130">
        <v>44558</v>
      </c>
    </row>
    <row r="4" spans="1:11" ht="20.149999999999999" customHeight="1" x14ac:dyDescent="0.25">
      <c r="A4" s="131" t="s">
        <v>261</v>
      </c>
      <c r="B4" s="132"/>
      <c r="C4" s="133"/>
      <c r="D4" s="133"/>
      <c r="E4" s="134" t="s">
        <v>194</v>
      </c>
      <c r="F4" s="132"/>
      <c r="G4" s="135" t="s">
        <v>70</v>
      </c>
      <c r="H4" s="136"/>
      <c r="I4" s="137"/>
      <c r="J4" s="138"/>
    </row>
    <row r="5" spans="1:11" ht="20.149999999999999" customHeight="1" x14ac:dyDescent="0.25">
      <c r="A5" s="173"/>
      <c r="B5" s="749" t="s">
        <v>195</v>
      </c>
      <c r="C5" s="750"/>
      <c r="D5" s="750"/>
      <c r="E5" s="751"/>
      <c r="F5" s="140"/>
      <c r="G5" s="141"/>
      <c r="H5" s="142"/>
      <c r="I5" s="143"/>
      <c r="J5" s="270"/>
    </row>
    <row r="6" spans="1:11" ht="20.149999999999999" customHeight="1" thickBot="1" x14ac:dyDescent="0.3">
      <c r="A6" s="145" t="s">
        <v>196</v>
      </c>
      <c r="B6" s="146" t="s">
        <v>197</v>
      </c>
      <c r="C6" s="146"/>
      <c r="D6" s="146"/>
      <c r="E6" s="147"/>
      <c r="F6" s="148" t="s">
        <v>198</v>
      </c>
      <c r="G6" s="148" t="s">
        <v>199</v>
      </c>
      <c r="H6" s="149"/>
      <c r="I6" s="148" t="s">
        <v>200</v>
      </c>
      <c r="J6" s="150" t="s">
        <v>201</v>
      </c>
      <c r="K6" s="151" t="s">
        <v>202</v>
      </c>
    </row>
    <row r="7" spans="1:11" ht="17.5" customHeight="1" x14ac:dyDescent="0.25">
      <c r="A7" s="152">
        <v>1</v>
      </c>
      <c r="B7" s="118" t="s">
        <v>203</v>
      </c>
      <c r="C7" s="153"/>
      <c r="D7" s="154"/>
      <c r="E7" s="155"/>
      <c r="F7" s="156">
        <v>1</v>
      </c>
      <c r="G7" s="157" t="s">
        <v>117</v>
      </c>
      <c r="H7" s="158"/>
      <c r="I7" s="159">
        <f>ROUNDUP(+L24*0.05,-3)</f>
        <v>62000</v>
      </c>
      <c r="J7" s="160">
        <f t="shared" ref="J7:J24" si="0">F7*I7</f>
        <v>62000</v>
      </c>
      <c r="K7" s="161" t="s">
        <v>204</v>
      </c>
    </row>
    <row r="8" spans="1:11" ht="17.5" customHeight="1" x14ac:dyDescent="0.25">
      <c r="A8" s="162">
        <v>2</v>
      </c>
      <c r="B8" s="163" t="s">
        <v>205</v>
      </c>
      <c r="C8" s="164"/>
      <c r="D8" s="165"/>
      <c r="E8" s="166"/>
      <c r="F8" s="167">
        <v>1</v>
      </c>
      <c r="G8" s="168" t="s">
        <v>117</v>
      </c>
      <c r="H8" s="169"/>
      <c r="I8" s="159">
        <f>ROUNDUP(+L24*0.04,-3)</f>
        <v>49000</v>
      </c>
      <c r="J8" s="170">
        <f t="shared" si="0"/>
        <v>49000</v>
      </c>
      <c r="K8" s="161" t="s">
        <v>206</v>
      </c>
    </row>
    <row r="9" spans="1:11" ht="17.5" customHeight="1" x14ac:dyDescent="0.25">
      <c r="A9" s="162"/>
      <c r="B9" s="163"/>
      <c r="C9" s="164"/>
      <c r="D9" s="171" t="s">
        <v>137</v>
      </c>
      <c r="E9" s="166"/>
      <c r="F9" s="167"/>
      <c r="G9" s="168"/>
      <c r="H9" s="169"/>
      <c r="I9" s="159"/>
      <c r="J9" s="172">
        <f>+SUM(J7:J8)</f>
        <v>111000</v>
      </c>
      <c r="K9" s="161"/>
    </row>
    <row r="10" spans="1:11" ht="17.5" customHeight="1" x14ac:dyDescent="0.25">
      <c r="A10" s="173"/>
      <c r="B10" s="749" t="s">
        <v>262</v>
      </c>
      <c r="C10" s="750"/>
      <c r="D10" s="750"/>
      <c r="E10" s="751"/>
      <c r="F10" s="140"/>
      <c r="G10" s="141"/>
      <c r="H10" s="142"/>
      <c r="I10" s="143" t="s">
        <v>263</v>
      </c>
      <c r="J10" s="270">
        <v>3</v>
      </c>
      <c r="K10" s="161"/>
    </row>
    <row r="11" spans="1:11" ht="17.5" customHeight="1" x14ac:dyDescent="0.25">
      <c r="A11" s="162">
        <v>3</v>
      </c>
      <c r="B11" s="163" t="s">
        <v>118</v>
      </c>
      <c r="C11" s="164"/>
      <c r="D11" s="165"/>
      <c r="E11" s="166"/>
      <c r="F11" s="271">
        <v>9.6</v>
      </c>
      <c r="G11" s="176" t="s">
        <v>112</v>
      </c>
      <c r="H11" s="169"/>
      <c r="I11" s="177">
        <v>2500</v>
      </c>
      <c r="J11" s="170">
        <f t="shared" si="0"/>
        <v>24000</v>
      </c>
      <c r="K11" s="161"/>
    </row>
    <row r="12" spans="1:11" ht="17.5" customHeight="1" x14ac:dyDescent="0.25">
      <c r="A12" s="162">
        <v>4</v>
      </c>
      <c r="B12" s="163" t="s">
        <v>264</v>
      </c>
      <c r="C12" s="164"/>
      <c r="D12" s="165"/>
      <c r="E12" s="166"/>
      <c r="F12" s="167">
        <v>31000</v>
      </c>
      <c r="G12" s="176" t="s">
        <v>116</v>
      </c>
      <c r="H12" s="169"/>
      <c r="I12" s="178">
        <v>1.35</v>
      </c>
      <c r="J12" s="170">
        <f t="shared" si="0"/>
        <v>41850</v>
      </c>
      <c r="K12" s="161"/>
    </row>
    <row r="13" spans="1:11" ht="17.5" customHeight="1" x14ac:dyDescent="0.25">
      <c r="A13" s="162">
        <v>5</v>
      </c>
      <c r="B13" s="163" t="s">
        <v>210</v>
      </c>
      <c r="C13" s="164"/>
      <c r="D13" s="165"/>
      <c r="E13" s="166"/>
      <c r="F13" s="167">
        <f>91000-F12</f>
        <v>60000</v>
      </c>
      <c r="G13" s="168" t="s">
        <v>116</v>
      </c>
      <c r="H13" s="272"/>
      <c r="I13" s="178">
        <v>1.25</v>
      </c>
      <c r="J13" s="170">
        <f t="shared" si="0"/>
        <v>75000</v>
      </c>
      <c r="K13" s="161"/>
    </row>
    <row r="14" spans="1:11" ht="17.5" customHeight="1" x14ac:dyDescent="0.25">
      <c r="A14" s="162">
        <v>6</v>
      </c>
      <c r="B14" s="163" t="s">
        <v>211</v>
      </c>
      <c r="C14" s="164"/>
      <c r="D14" s="165"/>
      <c r="E14" s="166"/>
      <c r="F14" s="167">
        <v>9200</v>
      </c>
      <c r="G14" s="168" t="s">
        <v>116</v>
      </c>
      <c r="H14" s="272"/>
      <c r="I14" s="178">
        <v>1.75</v>
      </c>
      <c r="J14" s="170">
        <f t="shared" si="0"/>
        <v>16100</v>
      </c>
      <c r="K14" s="161"/>
    </row>
    <row r="15" spans="1:11" ht="17.5" customHeight="1" x14ac:dyDescent="0.25">
      <c r="A15" s="162">
        <v>7</v>
      </c>
      <c r="B15" s="163" t="s">
        <v>265</v>
      </c>
      <c r="C15" s="164"/>
      <c r="D15" s="165"/>
      <c r="E15" s="166"/>
      <c r="F15" s="167">
        <f>F13-F14</f>
        <v>50800</v>
      </c>
      <c r="G15" s="168" t="s">
        <v>116</v>
      </c>
      <c r="H15" s="272"/>
      <c r="I15" s="178">
        <v>1.25</v>
      </c>
      <c r="J15" s="170">
        <f t="shared" si="0"/>
        <v>63500</v>
      </c>
      <c r="K15" s="161"/>
    </row>
    <row r="16" spans="1:11" ht="17.5" customHeight="1" x14ac:dyDescent="0.25">
      <c r="A16" s="162">
        <v>8</v>
      </c>
      <c r="B16" s="163" t="s">
        <v>214</v>
      </c>
      <c r="C16" s="164"/>
      <c r="D16" s="165"/>
      <c r="E16" s="166"/>
      <c r="F16" s="167">
        <f>+J10*43560/9</f>
        <v>14520</v>
      </c>
      <c r="G16" s="168" t="s">
        <v>115</v>
      </c>
      <c r="H16" s="169"/>
      <c r="I16" s="178">
        <v>0.5</v>
      </c>
      <c r="J16" s="170">
        <f t="shared" si="0"/>
        <v>7260</v>
      </c>
      <c r="K16" s="161"/>
    </row>
    <row r="17" spans="1:15" ht="17.5" customHeight="1" x14ac:dyDescent="0.25">
      <c r="A17" s="162">
        <v>9</v>
      </c>
      <c r="B17" s="163" t="s">
        <v>266</v>
      </c>
      <c r="C17" s="164"/>
      <c r="D17" s="165"/>
      <c r="E17" s="166"/>
      <c r="F17" s="167">
        <f>+F16</f>
        <v>14520</v>
      </c>
      <c r="G17" s="168" t="s">
        <v>115</v>
      </c>
      <c r="H17" s="169"/>
      <c r="I17" s="178">
        <v>5.5</v>
      </c>
      <c r="J17" s="170">
        <f t="shared" si="0"/>
        <v>79860</v>
      </c>
      <c r="K17" s="161" t="s">
        <v>217</v>
      </c>
    </row>
    <row r="18" spans="1:15" ht="17.5" customHeight="1" x14ac:dyDescent="0.25">
      <c r="A18" s="162">
        <v>10</v>
      </c>
      <c r="B18" s="163" t="s">
        <v>267</v>
      </c>
      <c r="C18" s="164"/>
      <c r="D18" s="165"/>
      <c r="E18" s="166"/>
      <c r="F18" s="167">
        <f>+F17</f>
        <v>14520</v>
      </c>
      <c r="G18" s="168" t="s">
        <v>115</v>
      </c>
      <c r="H18" s="169"/>
      <c r="I18" s="178">
        <v>7</v>
      </c>
      <c r="J18" s="170">
        <f t="shared" si="0"/>
        <v>101640</v>
      </c>
      <c r="K18" s="161" t="s">
        <v>268</v>
      </c>
    </row>
    <row r="19" spans="1:15" ht="17.5" customHeight="1" x14ac:dyDescent="0.25">
      <c r="A19" s="162">
        <v>11</v>
      </c>
      <c r="B19" s="163" t="s">
        <v>269</v>
      </c>
      <c r="C19" s="164"/>
      <c r="D19" s="165"/>
      <c r="E19" s="166"/>
      <c r="F19" s="167">
        <f>+F18</f>
        <v>14520</v>
      </c>
      <c r="G19" s="168" t="s">
        <v>115</v>
      </c>
      <c r="H19" s="169"/>
      <c r="I19" s="178">
        <v>5.5</v>
      </c>
      <c r="J19" s="170">
        <f t="shared" si="0"/>
        <v>79860</v>
      </c>
      <c r="K19" s="161"/>
    </row>
    <row r="20" spans="1:15" ht="17.5" customHeight="1" x14ac:dyDescent="0.25">
      <c r="A20" s="162">
        <v>12</v>
      </c>
      <c r="B20" s="163" t="s">
        <v>270</v>
      </c>
      <c r="C20" s="164"/>
      <c r="D20" s="165"/>
      <c r="E20" s="166"/>
      <c r="F20" s="273">
        <v>1</v>
      </c>
      <c r="G20" s="168" t="s">
        <v>117</v>
      </c>
      <c r="H20" s="169"/>
      <c r="I20" s="177">
        <v>20000</v>
      </c>
      <c r="J20" s="170">
        <f t="shared" si="0"/>
        <v>20000</v>
      </c>
      <c r="K20" s="161"/>
      <c r="M20" s="118" t="s">
        <v>70</v>
      </c>
    </row>
    <row r="21" spans="1:15" ht="17.5" customHeight="1" x14ac:dyDescent="0.25">
      <c r="A21" s="162">
        <v>13</v>
      </c>
      <c r="B21" s="163" t="s">
        <v>228</v>
      </c>
      <c r="C21" s="164"/>
      <c r="D21" s="165"/>
      <c r="E21" s="166"/>
      <c r="F21" s="273">
        <v>1</v>
      </c>
      <c r="G21" s="168" t="s">
        <v>117</v>
      </c>
      <c r="H21" s="272"/>
      <c r="I21" s="177">
        <v>25000</v>
      </c>
      <c r="J21" s="170">
        <f t="shared" si="0"/>
        <v>25000</v>
      </c>
      <c r="K21" s="161" t="s">
        <v>271</v>
      </c>
    </row>
    <row r="22" spans="1:15" ht="17.5" customHeight="1" x14ac:dyDescent="0.25">
      <c r="A22" s="162">
        <v>14</v>
      </c>
      <c r="B22" s="163" t="s">
        <v>272</v>
      </c>
      <c r="C22" s="164"/>
      <c r="D22" s="165"/>
      <c r="E22" s="166"/>
      <c r="F22" s="274">
        <f>2600*40/9</f>
        <v>11555.555555555555</v>
      </c>
      <c r="G22" s="168" t="s">
        <v>115</v>
      </c>
      <c r="H22" s="169"/>
      <c r="I22" s="178">
        <v>22</v>
      </c>
      <c r="J22" s="170">
        <f t="shared" si="0"/>
        <v>254222.22222222219</v>
      </c>
      <c r="K22" s="161" t="s">
        <v>273</v>
      </c>
      <c r="L22" s="118" t="s">
        <v>232</v>
      </c>
      <c r="N22" s="179">
        <f>170+120</f>
        <v>290</v>
      </c>
      <c r="O22" s="118" t="s">
        <v>233</v>
      </c>
    </row>
    <row r="23" spans="1:15" ht="17.5" customHeight="1" x14ac:dyDescent="0.25">
      <c r="A23" s="162">
        <v>15</v>
      </c>
      <c r="B23" s="163" t="s">
        <v>234</v>
      </c>
      <c r="C23" s="164"/>
      <c r="D23" s="165"/>
      <c r="E23" s="166"/>
      <c r="F23" s="273">
        <v>1</v>
      </c>
      <c r="G23" s="168" t="s">
        <v>117</v>
      </c>
      <c r="H23" s="169"/>
      <c r="I23" s="177">
        <v>20000</v>
      </c>
      <c r="J23" s="170">
        <f t="shared" si="0"/>
        <v>20000</v>
      </c>
      <c r="K23" s="161"/>
    </row>
    <row r="24" spans="1:15" ht="17.5" customHeight="1" x14ac:dyDescent="0.25">
      <c r="A24" s="162">
        <v>16</v>
      </c>
      <c r="B24" s="163" t="s">
        <v>235</v>
      </c>
      <c r="C24" s="164"/>
      <c r="D24" s="165"/>
      <c r="E24" s="166"/>
      <c r="F24" s="273">
        <v>3</v>
      </c>
      <c r="G24" s="168" t="s">
        <v>112</v>
      </c>
      <c r="H24" s="169"/>
      <c r="I24" s="177">
        <v>2200</v>
      </c>
      <c r="J24" s="170">
        <f t="shared" si="0"/>
        <v>6600</v>
      </c>
      <c r="K24" s="161" t="s">
        <v>236</v>
      </c>
      <c r="L24" s="180">
        <f>+J25+J36</f>
        <v>1223092.2222222222</v>
      </c>
    </row>
    <row r="25" spans="1:15" ht="17.5" customHeight="1" x14ac:dyDescent="0.25">
      <c r="A25" s="275"/>
      <c r="B25" s="276"/>
      <c r="C25" s="277"/>
      <c r="D25" s="171" t="s">
        <v>137</v>
      </c>
      <c r="E25" s="278"/>
      <c r="F25" s="279"/>
      <c r="G25" s="280"/>
      <c r="H25" s="281"/>
      <c r="I25" s="282"/>
      <c r="J25" s="172">
        <f>+SUM(J11:J23)</f>
        <v>808292.22222222225</v>
      </c>
      <c r="K25" s="283">
        <f>+J25/12</f>
        <v>67357.685185185182</v>
      </c>
    </row>
    <row r="26" spans="1:15" ht="17.5" customHeight="1" x14ac:dyDescent="0.25">
      <c r="A26" s="139"/>
      <c r="B26" s="746" t="s">
        <v>274</v>
      </c>
      <c r="C26" s="747"/>
      <c r="D26" s="747"/>
      <c r="E26" s="748"/>
      <c r="F26" s="284"/>
      <c r="G26" s="141"/>
      <c r="H26" s="142"/>
      <c r="I26" s="143"/>
      <c r="J26" s="270"/>
      <c r="K26" s="161"/>
    </row>
    <row r="27" spans="1:15" ht="17.5" customHeight="1" x14ac:dyDescent="0.25">
      <c r="A27" s="162">
        <f>+A24+1</f>
        <v>17</v>
      </c>
      <c r="B27" s="163" t="s">
        <v>118</v>
      </c>
      <c r="C27" s="164"/>
      <c r="D27" s="165"/>
      <c r="E27" s="166"/>
      <c r="F27" s="271">
        <v>5.2</v>
      </c>
      <c r="G27" s="176" t="s">
        <v>112</v>
      </c>
      <c r="H27" s="169"/>
      <c r="I27" s="177">
        <v>2500</v>
      </c>
      <c r="J27" s="170">
        <f t="shared" ref="J27:J35" si="1">F27*I27</f>
        <v>13000</v>
      </c>
      <c r="K27" s="161"/>
    </row>
    <row r="28" spans="1:15" ht="17.5" customHeight="1" x14ac:dyDescent="0.25">
      <c r="A28" s="162">
        <f>+A27+1</f>
        <v>18</v>
      </c>
      <c r="B28" s="163" t="s">
        <v>264</v>
      </c>
      <c r="C28" s="164"/>
      <c r="D28" s="165"/>
      <c r="E28" s="166"/>
      <c r="F28" s="167">
        <v>17000</v>
      </c>
      <c r="G28" s="176" t="s">
        <v>116</v>
      </c>
      <c r="H28" s="169"/>
      <c r="I28" s="178">
        <v>1.25</v>
      </c>
      <c r="J28" s="170">
        <f t="shared" si="1"/>
        <v>21250</v>
      </c>
      <c r="K28" s="161"/>
    </row>
    <row r="29" spans="1:15" ht="17.5" customHeight="1" x14ac:dyDescent="0.25">
      <c r="A29" s="162">
        <f t="shared" ref="A29:A35" si="2">+A28+1</f>
        <v>19</v>
      </c>
      <c r="B29" s="163" t="s">
        <v>210</v>
      </c>
      <c r="C29" s="164"/>
      <c r="D29" s="165"/>
      <c r="E29" s="166"/>
      <c r="F29" s="167">
        <v>0</v>
      </c>
      <c r="G29" s="168" t="s">
        <v>116</v>
      </c>
      <c r="H29" s="272"/>
      <c r="I29" s="178">
        <f>+I13</f>
        <v>1.25</v>
      </c>
      <c r="J29" s="170">
        <f t="shared" si="1"/>
        <v>0</v>
      </c>
      <c r="K29" s="161"/>
      <c r="N29" s="180">
        <f>+J25</f>
        <v>808292.22222222225</v>
      </c>
    </row>
    <row r="30" spans="1:15" ht="17.5" customHeight="1" x14ac:dyDescent="0.25">
      <c r="A30" s="162">
        <f t="shared" si="2"/>
        <v>20</v>
      </c>
      <c r="B30" s="163" t="s">
        <v>211</v>
      </c>
      <c r="C30" s="164"/>
      <c r="D30" s="165"/>
      <c r="E30" s="166"/>
      <c r="F30" s="167">
        <v>128000</v>
      </c>
      <c r="G30" s="168" t="s">
        <v>116</v>
      </c>
      <c r="H30" s="272"/>
      <c r="I30" s="178">
        <f>+I14</f>
        <v>1.75</v>
      </c>
      <c r="J30" s="170">
        <f t="shared" si="1"/>
        <v>224000</v>
      </c>
      <c r="K30" s="161"/>
      <c r="N30" s="180">
        <f>+N29*1.25</f>
        <v>1010365.2777777778</v>
      </c>
    </row>
    <row r="31" spans="1:15" ht="17.5" customHeight="1" x14ac:dyDescent="0.25">
      <c r="A31" s="162">
        <f t="shared" si="2"/>
        <v>21</v>
      </c>
      <c r="B31" s="163" t="s">
        <v>265</v>
      </c>
      <c r="C31" s="164"/>
      <c r="D31" s="165"/>
      <c r="E31" s="166"/>
      <c r="F31" s="167">
        <v>0</v>
      </c>
      <c r="G31" s="168" t="s">
        <v>116</v>
      </c>
      <c r="H31" s="272"/>
      <c r="I31" s="178">
        <f>+I15</f>
        <v>1.25</v>
      </c>
      <c r="J31" s="170">
        <f t="shared" si="1"/>
        <v>0</v>
      </c>
      <c r="K31" s="161"/>
      <c r="N31" s="180">
        <f>+N30*0.1</f>
        <v>101036.52777777778</v>
      </c>
    </row>
    <row r="32" spans="1:15" ht="17.5" customHeight="1" x14ac:dyDescent="0.25">
      <c r="A32" s="162">
        <f t="shared" si="2"/>
        <v>22</v>
      </c>
      <c r="B32" s="163" t="s">
        <v>228</v>
      </c>
      <c r="C32" s="164"/>
      <c r="D32" s="165"/>
      <c r="E32" s="166"/>
      <c r="F32" s="273">
        <v>1</v>
      </c>
      <c r="G32" s="168" t="s">
        <v>117</v>
      </c>
      <c r="H32" s="272"/>
      <c r="I32" s="177">
        <v>35000</v>
      </c>
      <c r="J32" s="170">
        <f t="shared" si="1"/>
        <v>35000</v>
      </c>
      <c r="K32" s="161"/>
      <c r="N32" s="180" t="e">
        <f>+#REF!-#REF!</f>
        <v>#REF!</v>
      </c>
    </row>
    <row r="33" spans="1:12" ht="17.5" customHeight="1" x14ac:dyDescent="0.25">
      <c r="A33" s="162">
        <f t="shared" si="2"/>
        <v>23</v>
      </c>
      <c r="B33" s="163" t="s">
        <v>275</v>
      </c>
      <c r="C33" s="164"/>
      <c r="D33" s="165"/>
      <c r="E33" s="166"/>
      <c r="F33" s="274">
        <f>1350*40/9</f>
        <v>6000</v>
      </c>
      <c r="G33" s="168" t="s">
        <v>115</v>
      </c>
      <c r="H33" s="272"/>
      <c r="I33" s="178">
        <f>+I22</f>
        <v>22</v>
      </c>
      <c r="J33" s="170">
        <f t="shared" si="1"/>
        <v>132000</v>
      </c>
      <c r="K33" s="118" t="s">
        <v>276</v>
      </c>
    </row>
    <row r="34" spans="1:12" ht="17.5" customHeight="1" x14ac:dyDescent="0.25">
      <c r="A34" s="162">
        <f t="shared" si="2"/>
        <v>24</v>
      </c>
      <c r="B34" s="163" t="s">
        <v>234</v>
      </c>
      <c r="C34" s="164"/>
      <c r="D34" s="165"/>
      <c r="E34" s="166"/>
      <c r="F34" s="273">
        <v>1</v>
      </c>
      <c r="G34" s="168" t="s">
        <v>117</v>
      </c>
      <c r="H34" s="272"/>
      <c r="I34" s="177">
        <v>15000</v>
      </c>
      <c r="J34" s="170">
        <f t="shared" si="1"/>
        <v>15000</v>
      </c>
    </row>
    <row r="35" spans="1:12" ht="17.5" customHeight="1" x14ac:dyDescent="0.25">
      <c r="A35" s="162">
        <f t="shared" si="2"/>
        <v>25</v>
      </c>
      <c r="B35" s="163" t="s">
        <v>235</v>
      </c>
      <c r="C35" s="164"/>
      <c r="D35" s="165"/>
      <c r="E35" s="166"/>
      <c r="F35" s="273">
        <v>4</v>
      </c>
      <c r="G35" s="168" t="s">
        <v>112</v>
      </c>
      <c r="H35" s="169"/>
      <c r="I35" s="178">
        <f>+I24</f>
        <v>2200</v>
      </c>
      <c r="J35" s="170">
        <f t="shared" si="1"/>
        <v>8800</v>
      </c>
    </row>
    <row r="36" spans="1:12" ht="17.5" customHeight="1" thickBot="1" x14ac:dyDescent="0.3">
      <c r="A36" s="260"/>
      <c r="B36" s="261"/>
      <c r="C36" s="262"/>
      <c r="D36" s="285" t="s">
        <v>137</v>
      </c>
      <c r="E36" s="264"/>
      <c r="F36" s="286"/>
      <c r="G36" s="287"/>
      <c r="H36" s="288"/>
      <c r="I36" s="289"/>
      <c r="J36" s="290">
        <f>+SUM(J29:J35)</f>
        <v>414800</v>
      </c>
    </row>
    <row r="37" spans="1:12" ht="17.5" customHeight="1" x14ac:dyDescent="0.25">
      <c r="A37" s="190"/>
      <c r="C37" s="118" t="s">
        <v>70</v>
      </c>
      <c r="F37" s="191" t="s">
        <v>237</v>
      </c>
      <c r="G37" s="192"/>
      <c r="H37" s="192"/>
      <c r="I37" s="193"/>
      <c r="J37" s="291">
        <f>+J9+J25+J36</f>
        <v>1334092.2222222222</v>
      </c>
    </row>
    <row r="38" spans="1:12" ht="17.5" customHeight="1" thickBot="1" x14ac:dyDescent="0.3">
      <c r="A38" s="190"/>
      <c r="F38" s="195" t="s">
        <v>238</v>
      </c>
      <c r="G38" s="163"/>
      <c r="H38" s="163"/>
      <c r="I38" s="196">
        <v>0.2</v>
      </c>
      <c r="J38" s="197">
        <f>J37*I38</f>
        <v>266818.44444444444</v>
      </c>
    </row>
    <row r="39" spans="1:12" ht="17.5" customHeight="1" thickTop="1" x14ac:dyDescent="0.25">
      <c r="A39" s="198" t="s">
        <v>239</v>
      </c>
      <c r="B39" s="132"/>
      <c r="C39" s="132"/>
      <c r="D39" s="132"/>
      <c r="F39" s="199" t="s">
        <v>240</v>
      </c>
      <c r="G39" s="200"/>
      <c r="H39" s="200"/>
      <c r="I39" s="201"/>
      <c r="J39" s="217">
        <f>SUM(J37:J38)</f>
        <v>1600910.6666666667</v>
      </c>
    </row>
    <row r="40" spans="1:12" ht="18" customHeight="1" x14ac:dyDescent="0.25">
      <c r="A40" s="203" t="s">
        <v>241</v>
      </c>
      <c r="F40" s="204" t="s">
        <v>242</v>
      </c>
      <c r="G40" s="205"/>
      <c r="H40" s="205"/>
      <c r="I40" s="206">
        <v>0.06</v>
      </c>
      <c r="J40" s="207">
        <f>J39*I40*1/3</f>
        <v>32018.213333333333</v>
      </c>
      <c r="K40" s="118" t="s">
        <v>243</v>
      </c>
    </row>
    <row r="41" spans="1:12" ht="17.5" customHeight="1" thickBot="1" x14ac:dyDescent="0.3">
      <c r="A41" s="198" t="s">
        <v>244</v>
      </c>
      <c r="B41" s="132"/>
      <c r="C41" s="132"/>
      <c r="D41" s="132"/>
      <c r="F41" s="208" t="s">
        <v>245</v>
      </c>
      <c r="G41" s="209"/>
      <c r="H41" s="209"/>
      <c r="I41" s="210"/>
      <c r="J41" s="211">
        <f>+ROUND(J39+J40,-3)</f>
        <v>1633000</v>
      </c>
    </row>
    <row r="42" spans="1:12" ht="17.5" customHeight="1" thickBot="1" x14ac:dyDescent="0.3">
      <c r="A42" s="190" t="s">
        <v>246</v>
      </c>
      <c r="I42" s="212"/>
      <c r="J42" s="213"/>
      <c r="L42" s="118" t="e">
        <f>+#REF!/#REF!</f>
        <v>#REF!</v>
      </c>
    </row>
    <row r="43" spans="1:12" x14ac:dyDescent="0.25">
      <c r="A43" s="752" t="s">
        <v>247</v>
      </c>
      <c r="B43" s="753"/>
      <c r="C43" s="753"/>
      <c r="D43" s="753"/>
      <c r="E43" s="753"/>
      <c r="F43" s="753"/>
      <c r="G43" s="753"/>
      <c r="H43" s="753"/>
      <c r="I43" s="753"/>
      <c r="J43" s="754"/>
    </row>
    <row r="44" spans="1:12" x14ac:dyDescent="0.25">
      <c r="A44" s="755"/>
      <c r="B44" s="756"/>
      <c r="C44" s="756"/>
      <c r="D44" s="756"/>
      <c r="E44" s="756"/>
      <c r="F44" s="756"/>
      <c r="G44" s="756"/>
      <c r="H44" s="756"/>
      <c r="I44" s="756"/>
      <c r="J44" s="757"/>
    </row>
    <row r="45" spans="1:12" ht="10.5" thickBot="1" x14ac:dyDescent="0.3">
      <c r="A45" s="758"/>
      <c r="B45" s="759"/>
      <c r="C45" s="759"/>
      <c r="D45" s="759"/>
      <c r="E45" s="759"/>
      <c r="F45" s="759"/>
      <c r="G45" s="759"/>
      <c r="H45" s="759"/>
      <c r="I45" s="759"/>
      <c r="J45" s="760"/>
    </row>
  </sheetData>
  <sheetProtection algorithmName="SHA-512" hashValue="RU+hM+IGgu6pRmiQh+NWPiqkZPKq6jATaZu3ymJB9rkNc8AjES3Evl3KR1GaGV908j/4v1jo702eEYQX/8IfUQ==" saltValue="SA2tlB0k+VvxcrVsN4S4vw==" spinCount="100000" sheet="1" objects="1" scenarios="1"/>
  <mergeCells count="4">
    <mergeCell ref="B5:E5"/>
    <mergeCell ref="B10:E10"/>
    <mergeCell ref="B26:E26"/>
    <mergeCell ref="A43:J45"/>
  </mergeCells>
  <pageMargins left="0.7" right="0.7" top="0.75" bottom="0.75" header="0.3" footer="0.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7"/>
  <sheetViews>
    <sheetView workbookViewId="0">
      <selection activeCell="B6" sqref="B6"/>
    </sheetView>
  </sheetViews>
  <sheetFormatPr defaultColWidth="9.1796875" defaultRowHeight="12.5" x14ac:dyDescent="0.25"/>
  <cols>
    <col min="1" max="1" width="37.453125" style="2" customWidth="1"/>
    <col min="2" max="2" width="11.7265625" style="2" bestFit="1" customWidth="1"/>
    <col min="3" max="3" width="30.453125" style="2" customWidth="1"/>
    <col min="4" max="4" width="13.81640625" style="2" customWidth="1"/>
    <col min="5" max="5" width="11.453125" style="2" customWidth="1"/>
    <col min="6" max="7" width="9.1796875" style="2"/>
    <col min="8" max="8" width="9.7265625" style="2" bestFit="1" customWidth="1"/>
    <col min="9" max="16384" width="9.1796875" style="2"/>
  </cols>
  <sheetData>
    <row r="1" spans="1:3" ht="18" x14ac:dyDescent="0.4">
      <c r="A1" s="105" t="s">
        <v>5</v>
      </c>
    </row>
    <row r="2" spans="1:3" ht="14" x14ac:dyDescent="0.3">
      <c r="A2" s="106" t="s">
        <v>180</v>
      </c>
    </row>
    <row r="4" spans="1:3" x14ac:dyDescent="0.25">
      <c r="A4" s="101" t="s">
        <v>181</v>
      </c>
      <c r="B4" s="101" t="s">
        <v>182</v>
      </c>
      <c r="C4" s="101" t="s">
        <v>185</v>
      </c>
    </row>
    <row r="5" spans="1:3" x14ac:dyDescent="0.25">
      <c r="A5" s="107" t="s">
        <v>62</v>
      </c>
      <c r="B5" s="109">
        <v>0.03</v>
      </c>
      <c r="C5" s="110"/>
    </row>
    <row r="6" spans="1:3" x14ac:dyDescent="0.25">
      <c r="A6" s="107" t="s">
        <v>186</v>
      </c>
      <c r="B6" s="109">
        <v>2E-3</v>
      </c>
      <c r="C6" s="111" t="s">
        <v>179</v>
      </c>
    </row>
    <row r="7" spans="1:3" x14ac:dyDescent="0.25">
      <c r="A7" s="107" t="s">
        <v>507</v>
      </c>
      <c r="B7" s="604">
        <v>2</v>
      </c>
      <c r="C7" s="110" t="s">
        <v>16</v>
      </c>
    </row>
  </sheetData>
  <sheetProtection algorithmName="SHA-512" hashValue="iOcGiWPOoZS5E1XqtG4au8J1cbmvsZXZQNUNFLEwzuze74g4kpNBr20DxW1BfVywe17nObNSQocxVWIKnVcaSA==" saltValue="+vwrDY47k6W1X3TDW+xPCA==" spinCount="100000" sheet="1" objects="1" scenarios="1"/>
  <phoneticPr fontId="12" type="noConversion"/>
  <pageMargins left="0.75" right="0.75" top="1" bottom="1" header="0.5" footer="0.5"/>
  <pageSetup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8665F-2FE1-4046-A73F-A54664F9ECFA}">
  <sheetPr codeName="Sheet18">
    <tabColor theme="0" tint="-0.34998626667073579"/>
    <pageSetUpPr fitToPage="1"/>
  </sheetPr>
  <dimension ref="A1:O38"/>
  <sheetViews>
    <sheetView workbookViewId="0">
      <selection activeCell="E30" sqref="E30"/>
    </sheetView>
  </sheetViews>
  <sheetFormatPr defaultColWidth="9.1796875" defaultRowHeight="10" x14ac:dyDescent="0.25"/>
  <cols>
    <col min="1" max="1" width="8.453125" style="118" customWidth="1"/>
    <col min="2" max="4" width="11" style="118" customWidth="1"/>
    <col min="5" max="7" width="10.1796875" style="118" customWidth="1"/>
    <col min="8" max="8" width="0" style="118" hidden="1" customWidth="1"/>
    <col min="9" max="9" width="10.7265625" style="118" customWidth="1"/>
    <col min="10" max="10" width="12.7265625" style="118" customWidth="1"/>
    <col min="11" max="11" width="63.1796875" style="118" customWidth="1"/>
    <col min="12" max="12" width="12.1796875" style="118" bestFit="1" customWidth="1"/>
    <col min="13" max="13" width="9.1796875" style="118"/>
    <col min="14" max="14" width="12.1796875" style="118" bestFit="1" customWidth="1"/>
    <col min="15" max="16384" width="9.1796875" style="118"/>
  </cols>
  <sheetData>
    <row r="1" spans="1:11" ht="40.5" customHeight="1" x14ac:dyDescent="0.3">
      <c r="A1" s="112"/>
      <c r="B1" s="113"/>
      <c r="C1" s="113"/>
      <c r="D1" s="113"/>
      <c r="E1" s="114"/>
      <c r="F1" s="114"/>
      <c r="G1" s="114"/>
      <c r="H1" s="115"/>
      <c r="I1" s="116" t="s">
        <v>70</v>
      </c>
      <c r="J1" s="117" t="s">
        <v>70</v>
      </c>
    </row>
    <row r="2" spans="1:11" ht="20.149999999999999" customHeight="1" thickBot="1" x14ac:dyDescent="0.3">
      <c r="A2" s="119" t="s">
        <v>189</v>
      </c>
      <c r="B2" s="120"/>
      <c r="E2" s="121"/>
      <c r="F2" s="121"/>
      <c r="G2" s="121"/>
      <c r="H2" s="122"/>
      <c r="I2" s="121"/>
      <c r="J2" s="123"/>
    </row>
    <row r="3" spans="1:11" ht="20.149999999999999" customHeight="1" thickTop="1" x14ac:dyDescent="0.25">
      <c r="A3" s="124" t="s">
        <v>190</v>
      </c>
      <c r="B3" s="125"/>
      <c r="C3" s="126"/>
      <c r="D3" s="126"/>
      <c r="E3" s="127" t="s">
        <v>191</v>
      </c>
      <c r="F3" s="125"/>
      <c r="G3" s="128" t="s">
        <v>70</v>
      </c>
      <c r="H3" s="129"/>
      <c r="I3" s="125" t="s">
        <v>192</v>
      </c>
      <c r="J3" s="130">
        <v>44544</v>
      </c>
    </row>
    <row r="4" spans="1:11" ht="20.149999999999999" customHeight="1" x14ac:dyDescent="0.25">
      <c r="A4" s="131" t="s">
        <v>248</v>
      </c>
      <c r="B4" s="132"/>
      <c r="C4" s="133"/>
      <c r="D4" s="133"/>
      <c r="E4" s="134" t="s">
        <v>194</v>
      </c>
      <c r="F4" s="132"/>
      <c r="G4" s="135" t="s">
        <v>70</v>
      </c>
      <c r="H4" s="136"/>
      <c r="I4" s="137"/>
      <c r="J4" s="138"/>
    </row>
    <row r="5" spans="1:11" ht="20.149999999999999" customHeight="1" x14ac:dyDescent="0.25">
      <c r="A5" s="139"/>
      <c r="B5" s="746" t="s">
        <v>195</v>
      </c>
      <c r="C5" s="747"/>
      <c r="D5" s="747"/>
      <c r="E5" s="748"/>
      <c r="F5" s="140"/>
      <c r="G5" s="141"/>
      <c r="H5" s="142"/>
      <c r="I5" s="143"/>
      <c r="J5" s="144"/>
    </row>
    <row r="6" spans="1:11" ht="20.149999999999999" customHeight="1" thickBot="1" x14ac:dyDescent="0.3">
      <c r="A6" s="145" t="s">
        <v>196</v>
      </c>
      <c r="B6" s="146" t="s">
        <v>197</v>
      </c>
      <c r="C6" s="146"/>
      <c r="D6" s="146"/>
      <c r="E6" s="147"/>
      <c r="F6" s="148" t="s">
        <v>198</v>
      </c>
      <c r="G6" s="148" t="s">
        <v>199</v>
      </c>
      <c r="H6" s="149"/>
      <c r="I6" s="148" t="s">
        <v>200</v>
      </c>
      <c r="J6" s="150" t="s">
        <v>201</v>
      </c>
      <c r="K6" s="151" t="s">
        <v>202</v>
      </c>
    </row>
    <row r="7" spans="1:11" ht="17.5" customHeight="1" x14ac:dyDescent="0.25">
      <c r="A7" s="152">
        <v>1</v>
      </c>
      <c r="B7" s="118" t="s">
        <v>203</v>
      </c>
      <c r="C7" s="153"/>
      <c r="D7" s="154"/>
      <c r="E7" s="155"/>
      <c r="F7" s="156">
        <v>1</v>
      </c>
      <c r="G7" s="157" t="s">
        <v>117</v>
      </c>
      <c r="H7" s="158"/>
      <c r="I7" s="159">
        <f>ROUNDUP(+L28*0.05,-3)</f>
        <v>120000</v>
      </c>
      <c r="J7" s="160">
        <f>F7*I7</f>
        <v>120000</v>
      </c>
      <c r="K7" s="161" t="s">
        <v>204</v>
      </c>
    </row>
    <row r="8" spans="1:11" ht="17.5" customHeight="1" x14ac:dyDescent="0.25">
      <c r="A8" s="162">
        <v>2</v>
      </c>
      <c r="B8" s="163" t="s">
        <v>205</v>
      </c>
      <c r="C8" s="164"/>
      <c r="D8" s="165"/>
      <c r="E8" s="166"/>
      <c r="F8" s="167">
        <v>1</v>
      </c>
      <c r="G8" s="168" t="s">
        <v>117</v>
      </c>
      <c r="H8" s="169"/>
      <c r="I8" s="159">
        <f>ROUNDUP(+L28*0.04,-3)</f>
        <v>96000</v>
      </c>
      <c r="J8" s="170">
        <f t="shared" ref="J8:J28" si="0">F8*I8</f>
        <v>96000</v>
      </c>
      <c r="K8" s="161" t="s">
        <v>206</v>
      </c>
    </row>
    <row r="9" spans="1:11" ht="17.5" customHeight="1" x14ac:dyDescent="0.25">
      <c r="A9" s="162"/>
      <c r="B9" s="163"/>
      <c r="C9" s="164"/>
      <c r="D9" s="171" t="s">
        <v>137</v>
      </c>
      <c r="E9" s="166"/>
      <c r="F9" s="167"/>
      <c r="G9" s="168"/>
      <c r="H9" s="169"/>
      <c r="I9" s="159"/>
      <c r="J9" s="172">
        <f>+SUM(J7:J8)</f>
        <v>216000</v>
      </c>
      <c r="K9" s="161"/>
    </row>
    <row r="10" spans="1:11" ht="17.5" customHeight="1" x14ac:dyDescent="0.25">
      <c r="A10" s="173"/>
      <c r="B10" s="749" t="s">
        <v>249</v>
      </c>
      <c r="C10" s="750"/>
      <c r="D10" s="750"/>
      <c r="E10" s="751"/>
      <c r="F10" s="140"/>
      <c r="G10" s="141"/>
      <c r="H10" s="142"/>
      <c r="I10" s="174"/>
      <c r="J10" s="175"/>
      <c r="K10" s="161"/>
    </row>
    <row r="11" spans="1:11" ht="17.5" customHeight="1" x14ac:dyDescent="0.25">
      <c r="A11" s="162">
        <v>3</v>
      </c>
      <c r="B11" s="163" t="s">
        <v>118</v>
      </c>
      <c r="C11" s="164"/>
      <c r="D11" s="165"/>
      <c r="E11" s="166"/>
      <c r="F11" s="259">
        <v>12.5</v>
      </c>
      <c r="G11" s="176" t="s">
        <v>112</v>
      </c>
      <c r="H11" s="169"/>
      <c r="I11" s="177">
        <v>2500</v>
      </c>
      <c r="J11" s="170">
        <f t="shared" si="0"/>
        <v>31250</v>
      </c>
      <c r="K11" s="161"/>
    </row>
    <row r="12" spans="1:11" ht="17.5" customHeight="1" x14ac:dyDescent="0.25">
      <c r="A12" s="162">
        <v>4</v>
      </c>
      <c r="B12" s="163" t="s">
        <v>209</v>
      </c>
      <c r="C12" s="164"/>
      <c r="D12" s="165"/>
      <c r="E12" s="166"/>
      <c r="F12" s="256">
        <v>40000</v>
      </c>
      <c r="G12" s="176" t="s">
        <v>116</v>
      </c>
      <c r="H12" s="169"/>
      <c r="I12" s="178">
        <v>1.35</v>
      </c>
      <c r="J12" s="170">
        <f t="shared" si="0"/>
        <v>54000</v>
      </c>
      <c r="K12" s="161"/>
    </row>
    <row r="13" spans="1:11" ht="17.5" customHeight="1" x14ac:dyDescent="0.25">
      <c r="A13" s="162">
        <v>5</v>
      </c>
      <c r="B13" s="163" t="s">
        <v>210</v>
      </c>
      <c r="C13" s="164"/>
      <c r="D13" s="165"/>
      <c r="E13" s="166"/>
      <c r="F13" s="256">
        <f>487000-F12</f>
        <v>447000</v>
      </c>
      <c r="G13" s="168" t="s">
        <v>116</v>
      </c>
      <c r="H13" s="169"/>
      <c r="I13" s="178">
        <v>1.25</v>
      </c>
      <c r="J13" s="170">
        <f t="shared" si="0"/>
        <v>558750</v>
      </c>
      <c r="K13" s="161"/>
    </row>
    <row r="14" spans="1:11" ht="17.5" customHeight="1" x14ac:dyDescent="0.25">
      <c r="A14" s="162">
        <v>6</v>
      </c>
      <c r="B14" s="163" t="s">
        <v>211</v>
      </c>
      <c r="C14" s="164"/>
      <c r="D14" s="165"/>
      <c r="E14" s="166"/>
      <c r="F14" s="256">
        <v>108000</v>
      </c>
      <c r="G14" s="168" t="s">
        <v>116</v>
      </c>
      <c r="H14" s="169"/>
      <c r="I14" s="178">
        <v>2.25</v>
      </c>
      <c r="J14" s="170">
        <f t="shared" si="0"/>
        <v>243000</v>
      </c>
      <c r="K14" s="161"/>
    </row>
    <row r="15" spans="1:11" ht="17.5" customHeight="1" x14ac:dyDescent="0.25">
      <c r="A15" s="162">
        <v>7</v>
      </c>
      <c r="B15" s="163" t="s">
        <v>212</v>
      </c>
      <c r="C15" s="164"/>
      <c r="D15" s="165"/>
      <c r="E15" s="166"/>
      <c r="F15" s="256">
        <v>341000</v>
      </c>
      <c r="G15" s="168" t="s">
        <v>116</v>
      </c>
      <c r="H15" s="169"/>
      <c r="I15" s="178">
        <v>1</v>
      </c>
      <c r="J15" s="170">
        <f t="shared" si="0"/>
        <v>341000</v>
      </c>
      <c r="K15" s="161" t="s">
        <v>213</v>
      </c>
    </row>
    <row r="16" spans="1:11" ht="17.5" customHeight="1" x14ac:dyDescent="0.25">
      <c r="A16" s="162">
        <v>8</v>
      </c>
      <c r="B16" s="163" t="s">
        <v>214</v>
      </c>
      <c r="C16" s="164"/>
      <c r="D16" s="165"/>
      <c r="E16" s="166"/>
      <c r="F16" s="256">
        <v>41952</v>
      </c>
      <c r="G16" s="168" t="s">
        <v>115</v>
      </c>
      <c r="H16" s="169"/>
      <c r="I16" s="178">
        <v>0.5</v>
      </c>
      <c r="J16" s="170">
        <f t="shared" si="0"/>
        <v>20976</v>
      </c>
      <c r="K16" s="161" t="s">
        <v>215</v>
      </c>
    </row>
    <row r="17" spans="1:15" ht="17.5" customHeight="1" x14ac:dyDescent="0.25">
      <c r="A17" s="162">
        <v>9</v>
      </c>
      <c r="B17" s="163" t="s">
        <v>216</v>
      </c>
      <c r="C17" s="164"/>
      <c r="D17" s="165"/>
      <c r="E17" s="166"/>
      <c r="F17" s="256">
        <f>+F16</f>
        <v>41952</v>
      </c>
      <c r="G17" s="168" t="s">
        <v>115</v>
      </c>
      <c r="H17" s="169"/>
      <c r="I17" s="178">
        <v>5.5</v>
      </c>
      <c r="J17" s="170">
        <f t="shared" si="0"/>
        <v>230736</v>
      </c>
      <c r="K17" s="161" t="s">
        <v>217</v>
      </c>
    </row>
    <row r="18" spans="1:15" ht="17.5" customHeight="1" x14ac:dyDescent="0.25">
      <c r="A18" s="162">
        <v>10</v>
      </c>
      <c r="B18" s="163" t="s">
        <v>218</v>
      </c>
      <c r="C18" s="164"/>
      <c r="D18" s="165"/>
      <c r="E18" s="166"/>
      <c r="F18" s="256">
        <f>+F17</f>
        <v>41952</v>
      </c>
      <c r="G18" s="168" t="s">
        <v>115</v>
      </c>
      <c r="H18" s="169"/>
      <c r="I18" s="178">
        <v>5.75</v>
      </c>
      <c r="J18" s="170">
        <f t="shared" si="0"/>
        <v>241224</v>
      </c>
      <c r="K18" s="161" t="s">
        <v>219</v>
      </c>
    </row>
    <row r="19" spans="1:15" ht="17.5" customHeight="1" x14ac:dyDescent="0.25">
      <c r="A19" s="162">
        <v>11</v>
      </c>
      <c r="B19" s="163" t="s">
        <v>220</v>
      </c>
      <c r="C19" s="164"/>
      <c r="D19" s="165"/>
      <c r="E19" s="166"/>
      <c r="F19" s="256">
        <f>+F18*9*1.5/27</f>
        <v>20976</v>
      </c>
      <c r="G19" s="168" t="s">
        <v>116</v>
      </c>
      <c r="H19" s="169"/>
      <c r="I19" s="178">
        <v>20</v>
      </c>
      <c r="J19" s="170">
        <f t="shared" si="0"/>
        <v>419520</v>
      </c>
      <c r="K19" s="161" t="s">
        <v>221</v>
      </c>
    </row>
    <row r="20" spans="1:15" ht="17.5" customHeight="1" x14ac:dyDescent="0.25">
      <c r="A20" s="162">
        <v>12</v>
      </c>
      <c r="B20" s="163" t="s">
        <v>222</v>
      </c>
      <c r="C20" s="164"/>
      <c r="D20" s="165"/>
      <c r="E20" s="166"/>
      <c r="F20" s="257">
        <v>1025</v>
      </c>
      <c r="G20" s="168" t="s">
        <v>113</v>
      </c>
      <c r="H20" s="169"/>
      <c r="I20" s="178">
        <v>65</v>
      </c>
      <c r="J20" s="170">
        <f t="shared" si="0"/>
        <v>66625</v>
      </c>
      <c r="K20" s="161" t="s">
        <v>223</v>
      </c>
      <c r="M20" s="118">
        <f>571+797+648+849</f>
        <v>2865</v>
      </c>
      <c r="N20" s="118">
        <f>260+230+194+136</f>
        <v>820</v>
      </c>
    </row>
    <row r="21" spans="1:15" ht="17.5" customHeight="1" x14ac:dyDescent="0.25">
      <c r="A21" s="162">
        <v>13</v>
      </c>
      <c r="B21" s="163" t="s">
        <v>224</v>
      </c>
      <c r="C21" s="164"/>
      <c r="D21" s="165"/>
      <c r="E21" s="166"/>
      <c r="F21" s="257">
        <v>1250</v>
      </c>
      <c r="G21" s="168" t="s">
        <v>113</v>
      </c>
      <c r="H21" s="169"/>
      <c r="I21" s="178">
        <v>30</v>
      </c>
      <c r="J21" s="170">
        <f t="shared" si="0"/>
        <v>37500</v>
      </c>
      <c r="K21" s="161"/>
    </row>
    <row r="22" spans="1:15" ht="17.5" customHeight="1" x14ac:dyDescent="0.25">
      <c r="A22" s="162">
        <v>14</v>
      </c>
      <c r="B22" s="163" t="s">
        <v>225</v>
      </c>
      <c r="C22" s="164"/>
      <c r="D22" s="165"/>
      <c r="E22" s="166"/>
      <c r="F22" s="258">
        <v>0</v>
      </c>
      <c r="G22" s="168" t="s">
        <v>117</v>
      </c>
      <c r="H22" s="169"/>
      <c r="I22" s="177">
        <v>40000</v>
      </c>
      <c r="J22" s="170">
        <f t="shared" si="0"/>
        <v>0</v>
      </c>
      <c r="K22" s="161"/>
      <c r="M22" s="118" t="s">
        <v>70</v>
      </c>
    </row>
    <row r="23" spans="1:15" ht="17.5" customHeight="1" x14ac:dyDescent="0.25">
      <c r="A23" s="162">
        <v>15</v>
      </c>
      <c r="B23" s="163" t="s">
        <v>226</v>
      </c>
      <c r="C23" s="164"/>
      <c r="D23" s="165"/>
      <c r="E23" s="166"/>
      <c r="F23" s="257">
        <v>0</v>
      </c>
      <c r="G23" s="168" t="s">
        <v>113</v>
      </c>
      <c r="H23" s="169"/>
      <c r="I23" s="178">
        <v>75</v>
      </c>
      <c r="J23" s="170">
        <f t="shared" si="0"/>
        <v>0</v>
      </c>
      <c r="K23" s="161"/>
    </row>
    <row r="24" spans="1:15" ht="17.5" customHeight="1" x14ac:dyDescent="0.25">
      <c r="A24" s="162">
        <v>16</v>
      </c>
      <c r="B24" s="163" t="s">
        <v>227</v>
      </c>
      <c r="C24" s="164"/>
      <c r="D24" s="165"/>
      <c r="E24" s="166"/>
      <c r="F24" s="257">
        <v>0</v>
      </c>
      <c r="G24" s="168" t="s">
        <v>113</v>
      </c>
      <c r="H24" s="169"/>
      <c r="I24" s="178">
        <v>30</v>
      </c>
      <c r="J24" s="170">
        <f t="shared" si="0"/>
        <v>0</v>
      </c>
      <c r="K24" s="161"/>
    </row>
    <row r="25" spans="1:15" ht="17.5" customHeight="1" x14ac:dyDescent="0.25">
      <c r="A25" s="162">
        <v>17</v>
      </c>
      <c r="B25" s="163" t="s">
        <v>228</v>
      </c>
      <c r="C25" s="164"/>
      <c r="D25" s="165"/>
      <c r="E25" s="166"/>
      <c r="F25" s="258">
        <v>0</v>
      </c>
      <c r="G25" s="168" t="s">
        <v>117</v>
      </c>
      <c r="H25" s="169"/>
      <c r="I25" s="177">
        <v>25000</v>
      </c>
      <c r="J25" s="170">
        <f t="shared" si="0"/>
        <v>0</v>
      </c>
      <c r="K25" s="161" t="s">
        <v>229</v>
      </c>
    </row>
    <row r="26" spans="1:15" ht="17.5" customHeight="1" x14ac:dyDescent="0.25">
      <c r="A26" s="162">
        <v>18</v>
      </c>
      <c r="B26" s="163" t="s">
        <v>230</v>
      </c>
      <c r="C26" s="164"/>
      <c r="D26" s="165"/>
      <c r="E26" s="166"/>
      <c r="F26" s="257">
        <f>1200*40/9</f>
        <v>5333.333333333333</v>
      </c>
      <c r="G26" s="168" t="s">
        <v>115</v>
      </c>
      <c r="H26" s="169"/>
      <c r="I26" s="178">
        <v>22</v>
      </c>
      <c r="J26" s="170">
        <f t="shared" si="0"/>
        <v>117333.33333333333</v>
      </c>
      <c r="K26" s="161" t="s">
        <v>250</v>
      </c>
      <c r="L26" s="118" t="s">
        <v>232</v>
      </c>
      <c r="N26" s="179">
        <f>170+120</f>
        <v>290</v>
      </c>
      <c r="O26" s="118" t="s">
        <v>233</v>
      </c>
    </row>
    <row r="27" spans="1:15" ht="17.5" customHeight="1" x14ac:dyDescent="0.25">
      <c r="A27" s="162">
        <v>19</v>
      </c>
      <c r="B27" s="163" t="s">
        <v>234</v>
      </c>
      <c r="C27" s="164"/>
      <c r="D27" s="165"/>
      <c r="E27" s="166"/>
      <c r="F27" s="258">
        <v>1</v>
      </c>
      <c r="G27" s="168" t="s">
        <v>117</v>
      </c>
      <c r="H27" s="169"/>
      <c r="I27" s="177">
        <v>20000</v>
      </c>
      <c r="J27" s="170">
        <f t="shared" si="0"/>
        <v>20000</v>
      </c>
      <c r="K27" s="161"/>
    </row>
    <row r="28" spans="1:15" ht="17.5" customHeight="1" x14ac:dyDescent="0.25">
      <c r="A28" s="260">
        <v>20</v>
      </c>
      <c r="B28" s="261" t="s">
        <v>235</v>
      </c>
      <c r="C28" s="262"/>
      <c r="D28" s="263"/>
      <c r="E28" s="264"/>
      <c r="F28" s="265">
        <v>5</v>
      </c>
      <c r="G28" s="266" t="s">
        <v>112</v>
      </c>
      <c r="H28" s="267"/>
      <c r="I28" s="268">
        <v>2200</v>
      </c>
      <c r="J28" s="269">
        <f t="shared" si="0"/>
        <v>11000</v>
      </c>
      <c r="K28" s="161" t="s">
        <v>236</v>
      </c>
      <c r="L28" s="180">
        <f>SUM(J11:J27)</f>
        <v>2381914.3333333335</v>
      </c>
    </row>
    <row r="29" spans="1:15" ht="17.5" customHeight="1" thickBot="1" x14ac:dyDescent="0.3">
      <c r="A29" s="181"/>
      <c r="B29" s="182"/>
      <c r="C29" s="183"/>
      <c r="D29" s="171" t="s">
        <v>137</v>
      </c>
      <c r="E29" s="184"/>
      <c r="F29" s="185"/>
      <c r="G29" s="186"/>
      <c r="H29" s="187"/>
      <c r="I29" s="188"/>
      <c r="J29" s="189">
        <f>+SUM(J11:J28)</f>
        <v>2392914.3333333335</v>
      </c>
      <c r="K29" s="161"/>
      <c r="L29" s="180"/>
    </row>
    <row r="30" spans="1:15" ht="17.5" customHeight="1" x14ac:dyDescent="0.25">
      <c r="A30" s="190"/>
      <c r="C30" s="118" t="s">
        <v>70</v>
      </c>
      <c r="F30" s="191" t="s">
        <v>237</v>
      </c>
      <c r="G30" s="192"/>
      <c r="H30" s="192"/>
      <c r="I30" s="193"/>
      <c r="J30" s="194">
        <f>+J9+J29</f>
        <v>2608914.3333333335</v>
      </c>
    </row>
    <row r="31" spans="1:15" ht="17.5" customHeight="1" thickBot="1" x14ac:dyDescent="0.3">
      <c r="A31" s="190"/>
      <c r="F31" s="195" t="s">
        <v>238</v>
      </c>
      <c r="G31" s="163"/>
      <c r="H31" s="163"/>
      <c r="I31" s="196">
        <v>0.2</v>
      </c>
      <c r="J31" s="197">
        <f>J30*I31</f>
        <v>521782.8666666667</v>
      </c>
    </row>
    <row r="32" spans="1:15" ht="17.5" customHeight="1" thickTop="1" x14ac:dyDescent="0.25">
      <c r="A32" s="198" t="s">
        <v>260</v>
      </c>
      <c r="B32" s="132"/>
      <c r="C32" s="132"/>
      <c r="D32" s="132"/>
      <c r="F32" s="199" t="s">
        <v>240</v>
      </c>
      <c r="G32" s="200"/>
      <c r="H32" s="200"/>
      <c r="I32" s="201"/>
      <c r="J32" s="202">
        <f>SUM(J30:J31)</f>
        <v>3130697.2</v>
      </c>
    </row>
    <row r="33" spans="1:12" ht="18" customHeight="1" x14ac:dyDescent="0.25">
      <c r="A33" s="203" t="s">
        <v>241</v>
      </c>
      <c r="F33" s="204" t="s">
        <v>242</v>
      </c>
      <c r="G33" s="205"/>
      <c r="H33" s="205"/>
      <c r="I33" s="206">
        <v>0.06</v>
      </c>
      <c r="J33" s="207">
        <f>J32*I33*1/3</f>
        <v>62613.943999999996</v>
      </c>
      <c r="K33" s="118" t="s">
        <v>243</v>
      </c>
    </row>
    <row r="34" spans="1:12" ht="17.5" customHeight="1" thickBot="1" x14ac:dyDescent="0.3">
      <c r="A34" s="198" t="s">
        <v>244</v>
      </c>
      <c r="B34" s="132"/>
      <c r="C34" s="132"/>
      <c r="D34" s="132"/>
      <c r="F34" s="208" t="s">
        <v>245</v>
      </c>
      <c r="G34" s="209"/>
      <c r="H34" s="209"/>
      <c r="I34" s="210"/>
      <c r="J34" s="211">
        <f>+ROUND(J32+J33,-3)</f>
        <v>3193000</v>
      </c>
    </row>
    <row r="35" spans="1:12" ht="17.5" customHeight="1" thickBot="1" x14ac:dyDescent="0.3">
      <c r="A35" s="190" t="s">
        <v>246</v>
      </c>
      <c r="I35" s="212"/>
      <c r="J35" s="213"/>
      <c r="L35" s="118" t="e">
        <f>+#REF!/#REF!</f>
        <v>#REF!</v>
      </c>
    </row>
    <row r="36" spans="1:12" ht="17.5" customHeight="1" x14ac:dyDescent="0.25">
      <c r="A36" s="752" t="s">
        <v>247</v>
      </c>
      <c r="B36" s="753"/>
      <c r="C36" s="753"/>
      <c r="D36" s="753"/>
      <c r="E36" s="753"/>
      <c r="F36" s="753"/>
      <c r="G36" s="753"/>
      <c r="H36" s="753"/>
      <c r="I36" s="753"/>
      <c r="J36" s="754"/>
    </row>
    <row r="37" spans="1:12" x14ac:dyDescent="0.25">
      <c r="A37" s="755"/>
      <c r="B37" s="756"/>
      <c r="C37" s="756"/>
      <c r="D37" s="756"/>
      <c r="E37" s="756"/>
      <c r="F37" s="756"/>
      <c r="G37" s="756"/>
      <c r="H37" s="756"/>
      <c r="I37" s="756"/>
      <c r="J37" s="757"/>
    </row>
    <row r="38" spans="1:12" ht="10.5" thickBot="1" x14ac:dyDescent="0.3">
      <c r="A38" s="758"/>
      <c r="B38" s="759"/>
      <c r="C38" s="759"/>
      <c r="D38" s="759"/>
      <c r="E38" s="759"/>
      <c r="F38" s="759"/>
      <c r="G38" s="759"/>
      <c r="H38" s="759"/>
      <c r="I38" s="759"/>
      <c r="J38" s="760"/>
    </row>
  </sheetData>
  <sheetProtection algorithmName="SHA-512" hashValue="YIkTIWI2nCmPBawXg+7XI9pAh1hlW3ZH2a/m566cRkHrWOKqCmgOFZNi76lV2td9E5X7l+PYemzWCJSB1KzxCA==" saltValue="ceNQwqP/edEWJJdd/8BdJw==" spinCount="100000" sheet="1" objects="1" scenarios="1"/>
  <mergeCells count="3">
    <mergeCell ref="B5:E5"/>
    <mergeCell ref="B10:E10"/>
    <mergeCell ref="A36:J38"/>
  </mergeCells>
  <pageMargins left="0.7" right="0.7" top="0.75" bottom="0.75" header="0.3" footer="0.3"/>
  <pageSetup scale="9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F9A12-FFB4-45FB-BEE8-8E82D76FC4C4}">
  <sheetPr codeName="Sheet19">
    <tabColor theme="0" tint="-0.34998626667073579"/>
    <pageSetUpPr fitToPage="1"/>
  </sheetPr>
  <dimension ref="A1:O38"/>
  <sheetViews>
    <sheetView workbookViewId="0">
      <selection activeCell="I22" sqref="I22"/>
    </sheetView>
  </sheetViews>
  <sheetFormatPr defaultColWidth="9.1796875" defaultRowHeight="10" x14ac:dyDescent="0.25"/>
  <cols>
    <col min="1" max="1" width="8.453125" style="118" customWidth="1"/>
    <col min="2" max="4" width="11" style="118" customWidth="1"/>
    <col min="5" max="7" width="10.1796875" style="118" customWidth="1"/>
    <col min="8" max="8" width="0" style="118" hidden="1" customWidth="1"/>
    <col min="9" max="9" width="10.7265625" style="118" customWidth="1"/>
    <col min="10" max="10" width="12.7265625" style="118" customWidth="1"/>
    <col min="11" max="11" width="63.1796875" style="118" customWidth="1"/>
    <col min="12" max="12" width="12.1796875" style="118" bestFit="1" customWidth="1"/>
    <col min="13" max="13" width="9.1796875" style="118"/>
    <col min="14" max="14" width="12.1796875" style="118" bestFit="1" customWidth="1"/>
    <col min="15" max="16384" width="9.1796875" style="118"/>
  </cols>
  <sheetData>
    <row r="1" spans="1:12" ht="40.5" customHeight="1" x14ac:dyDescent="0.3">
      <c r="A1" s="112"/>
      <c r="B1" s="113"/>
      <c r="C1" s="113"/>
      <c r="D1" s="113"/>
      <c r="E1" s="114"/>
      <c r="F1" s="114"/>
      <c r="G1" s="114"/>
      <c r="H1" s="115"/>
      <c r="I1" s="116" t="s">
        <v>70</v>
      </c>
      <c r="J1" s="117" t="s">
        <v>70</v>
      </c>
    </row>
    <row r="2" spans="1:12" ht="20.149999999999999" customHeight="1" thickBot="1" x14ac:dyDescent="0.3">
      <c r="A2" s="119" t="s">
        <v>189</v>
      </c>
      <c r="B2" s="120"/>
      <c r="E2" s="121"/>
      <c r="F2" s="121"/>
      <c r="G2" s="121"/>
      <c r="H2" s="122"/>
      <c r="I2" s="121"/>
      <c r="J2" s="123"/>
    </row>
    <row r="3" spans="1:12" ht="20.149999999999999" customHeight="1" thickTop="1" x14ac:dyDescent="0.25">
      <c r="A3" s="124" t="s">
        <v>190</v>
      </c>
      <c r="B3" s="125"/>
      <c r="C3" s="126"/>
      <c r="D3" s="126"/>
      <c r="E3" s="127" t="s">
        <v>191</v>
      </c>
      <c r="F3" s="125"/>
      <c r="G3" s="128" t="s">
        <v>70</v>
      </c>
      <c r="H3" s="129"/>
      <c r="I3" s="125" t="s">
        <v>192</v>
      </c>
      <c r="J3" s="130">
        <v>44544</v>
      </c>
    </row>
    <row r="4" spans="1:12" ht="20.149999999999999" customHeight="1" x14ac:dyDescent="0.25">
      <c r="A4" s="131" t="s">
        <v>251</v>
      </c>
      <c r="B4" s="132"/>
      <c r="C4" s="133"/>
      <c r="D4" s="133"/>
      <c r="E4" s="134" t="s">
        <v>194</v>
      </c>
      <c r="F4" s="132"/>
      <c r="G4" s="135" t="s">
        <v>70</v>
      </c>
      <c r="H4" s="136"/>
      <c r="I4" s="137"/>
      <c r="J4" s="138"/>
    </row>
    <row r="5" spans="1:12" ht="20.149999999999999" customHeight="1" x14ac:dyDescent="0.25">
      <c r="A5" s="139"/>
      <c r="B5" s="746" t="s">
        <v>252</v>
      </c>
      <c r="C5" s="747"/>
      <c r="D5" s="747"/>
      <c r="E5" s="748"/>
      <c r="F5" s="140"/>
      <c r="G5" s="141"/>
      <c r="H5" s="142"/>
      <c r="I5" s="143"/>
      <c r="J5" s="144"/>
    </row>
    <row r="6" spans="1:12" ht="20.149999999999999" customHeight="1" thickBot="1" x14ac:dyDescent="0.3">
      <c r="A6" s="145" t="s">
        <v>196</v>
      </c>
      <c r="B6" s="146" t="s">
        <v>197</v>
      </c>
      <c r="C6" s="146"/>
      <c r="D6" s="146"/>
      <c r="E6" s="147"/>
      <c r="F6" s="148" t="s">
        <v>198</v>
      </c>
      <c r="G6" s="148" t="s">
        <v>199</v>
      </c>
      <c r="H6" s="149"/>
      <c r="I6" s="148" t="s">
        <v>200</v>
      </c>
      <c r="J6" s="150" t="s">
        <v>201</v>
      </c>
      <c r="K6" s="151" t="s">
        <v>202</v>
      </c>
    </row>
    <row r="7" spans="1:12" ht="17.5" customHeight="1" x14ac:dyDescent="0.25">
      <c r="A7" s="152">
        <v>1</v>
      </c>
      <c r="B7" s="118" t="s">
        <v>203</v>
      </c>
      <c r="C7" s="153"/>
      <c r="D7" s="154"/>
      <c r="E7" s="155"/>
      <c r="F7" s="156">
        <v>1</v>
      </c>
      <c r="G7" s="157" t="s">
        <v>117</v>
      </c>
      <c r="H7" s="158"/>
      <c r="I7" s="159">
        <f>ROUNDUP(+L28*0.05,-3)</f>
        <v>158000</v>
      </c>
      <c r="J7" s="160">
        <f>F7*I7</f>
        <v>158000</v>
      </c>
      <c r="K7" s="161" t="s">
        <v>204</v>
      </c>
    </row>
    <row r="8" spans="1:12" ht="17.5" customHeight="1" x14ac:dyDescent="0.25">
      <c r="A8" s="162">
        <v>2</v>
      </c>
      <c r="B8" s="163" t="s">
        <v>205</v>
      </c>
      <c r="C8" s="164"/>
      <c r="D8" s="165"/>
      <c r="E8" s="166"/>
      <c r="F8" s="167">
        <v>1</v>
      </c>
      <c r="G8" s="168" t="s">
        <v>117</v>
      </c>
      <c r="H8" s="169"/>
      <c r="I8" s="159">
        <f>ROUNDUP(+L28*0.04,-3)</f>
        <v>126000</v>
      </c>
      <c r="J8" s="170">
        <f t="shared" ref="J8:J28" si="0">F8*I8</f>
        <v>126000</v>
      </c>
      <c r="K8" s="161" t="s">
        <v>206</v>
      </c>
      <c r="L8" s="214"/>
    </row>
    <row r="9" spans="1:12" ht="17.5" customHeight="1" x14ac:dyDescent="0.25">
      <c r="A9" s="162"/>
      <c r="B9" s="163"/>
      <c r="C9" s="164"/>
      <c r="D9" s="171" t="s">
        <v>207</v>
      </c>
      <c r="E9" s="166"/>
      <c r="F9" s="167"/>
      <c r="G9" s="168"/>
      <c r="H9" s="169"/>
      <c r="I9" s="159"/>
      <c r="J9" s="172">
        <f>+SUM(J7:J8)</f>
        <v>284000</v>
      </c>
      <c r="K9" s="161"/>
    </row>
    <row r="10" spans="1:12" ht="17.5" customHeight="1" x14ac:dyDescent="0.25">
      <c r="A10" s="173"/>
      <c r="B10" s="749" t="s">
        <v>253</v>
      </c>
      <c r="C10" s="750"/>
      <c r="D10" s="750"/>
      <c r="E10" s="751"/>
      <c r="F10" s="140"/>
      <c r="G10" s="141"/>
      <c r="H10" s="142"/>
      <c r="I10" s="174"/>
      <c r="J10" s="175"/>
      <c r="K10" s="161"/>
    </row>
    <row r="11" spans="1:12" ht="17.5" customHeight="1" x14ac:dyDescent="0.25">
      <c r="A11" s="162">
        <v>3</v>
      </c>
      <c r="B11" s="163" t="s">
        <v>118</v>
      </c>
      <c r="C11" s="164"/>
      <c r="D11" s="165"/>
      <c r="E11" s="166"/>
      <c r="F11" s="259">
        <v>10.199999999999999</v>
      </c>
      <c r="G11" s="176" t="s">
        <v>112</v>
      </c>
      <c r="H11" s="169"/>
      <c r="I11" s="177">
        <v>2500</v>
      </c>
      <c r="J11" s="170">
        <f t="shared" si="0"/>
        <v>25500</v>
      </c>
      <c r="K11" s="161"/>
    </row>
    <row r="12" spans="1:12" ht="17.5" customHeight="1" x14ac:dyDescent="0.25">
      <c r="A12" s="162">
        <v>4</v>
      </c>
      <c r="B12" s="163" t="s">
        <v>209</v>
      </c>
      <c r="C12" s="164"/>
      <c r="D12" s="165"/>
      <c r="E12" s="166"/>
      <c r="F12" s="256">
        <v>33000</v>
      </c>
      <c r="G12" s="176" t="s">
        <v>116</v>
      </c>
      <c r="H12" s="169"/>
      <c r="I12" s="178">
        <v>1.35</v>
      </c>
      <c r="J12" s="170">
        <f t="shared" si="0"/>
        <v>44550</v>
      </c>
      <c r="K12" s="161"/>
    </row>
    <row r="13" spans="1:12" ht="17.5" customHeight="1" x14ac:dyDescent="0.25">
      <c r="A13" s="162">
        <v>5</v>
      </c>
      <c r="B13" s="163" t="s">
        <v>210</v>
      </c>
      <c r="C13" s="164"/>
      <c r="D13" s="165"/>
      <c r="E13" s="166"/>
      <c r="F13" s="256">
        <f>829000-F12</f>
        <v>796000</v>
      </c>
      <c r="G13" s="168" t="s">
        <v>116</v>
      </c>
      <c r="H13" s="169"/>
      <c r="I13" s="178">
        <v>1.25</v>
      </c>
      <c r="J13" s="170">
        <f t="shared" si="0"/>
        <v>995000</v>
      </c>
      <c r="K13" s="161"/>
    </row>
    <row r="14" spans="1:12" ht="17.5" customHeight="1" x14ac:dyDescent="0.25">
      <c r="A14" s="162">
        <v>6</v>
      </c>
      <c r="B14" s="163" t="s">
        <v>211</v>
      </c>
      <c r="C14" s="164"/>
      <c r="D14" s="165"/>
      <c r="E14" s="166"/>
      <c r="F14" s="256">
        <v>108000</v>
      </c>
      <c r="G14" s="168" t="s">
        <v>116</v>
      </c>
      <c r="H14" s="169"/>
      <c r="I14" s="178">
        <v>2.25</v>
      </c>
      <c r="J14" s="170">
        <f t="shared" si="0"/>
        <v>243000</v>
      </c>
      <c r="K14" s="161"/>
    </row>
    <row r="15" spans="1:12" ht="17.5" customHeight="1" x14ac:dyDescent="0.25">
      <c r="A15" s="162">
        <v>7</v>
      </c>
      <c r="B15" s="163" t="s">
        <v>212</v>
      </c>
      <c r="C15" s="164"/>
      <c r="D15" s="165"/>
      <c r="E15" s="166"/>
      <c r="F15" s="256">
        <v>689000</v>
      </c>
      <c r="G15" s="168" t="s">
        <v>116</v>
      </c>
      <c r="H15" s="169"/>
      <c r="I15" s="178">
        <v>1</v>
      </c>
      <c r="J15" s="170">
        <f t="shared" si="0"/>
        <v>689000</v>
      </c>
      <c r="K15" s="161" t="s">
        <v>213</v>
      </c>
    </row>
    <row r="16" spans="1:12" ht="17.5" customHeight="1" x14ac:dyDescent="0.25">
      <c r="A16" s="162">
        <v>8</v>
      </c>
      <c r="B16" s="163" t="s">
        <v>214</v>
      </c>
      <c r="C16" s="164"/>
      <c r="D16" s="165"/>
      <c r="E16" s="166"/>
      <c r="F16" s="256">
        <v>44975</v>
      </c>
      <c r="G16" s="168" t="s">
        <v>115</v>
      </c>
      <c r="H16" s="169"/>
      <c r="I16" s="178">
        <v>0.5</v>
      </c>
      <c r="J16" s="170">
        <f t="shared" si="0"/>
        <v>22487.5</v>
      </c>
      <c r="K16" s="161" t="s">
        <v>215</v>
      </c>
    </row>
    <row r="17" spans="1:15" ht="17.5" customHeight="1" x14ac:dyDescent="0.25">
      <c r="A17" s="162">
        <v>9</v>
      </c>
      <c r="B17" s="163" t="s">
        <v>216</v>
      </c>
      <c r="C17" s="164"/>
      <c r="D17" s="165"/>
      <c r="E17" s="166"/>
      <c r="F17" s="256">
        <f>+F16</f>
        <v>44975</v>
      </c>
      <c r="G17" s="168" t="s">
        <v>115</v>
      </c>
      <c r="H17" s="169"/>
      <c r="I17" s="178">
        <v>5.5</v>
      </c>
      <c r="J17" s="170">
        <f t="shared" si="0"/>
        <v>247362.5</v>
      </c>
      <c r="K17" s="161" t="s">
        <v>217</v>
      </c>
    </row>
    <row r="18" spans="1:15" ht="17.5" customHeight="1" x14ac:dyDescent="0.25">
      <c r="A18" s="162">
        <v>10</v>
      </c>
      <c r="B18" s="163" t="s">
        <v>218</v>
      </c>
      <c r="C18" s="164"/>
      <c r="D18" s="165"/>
      <c r="E18" s="166"/>
      <c r="F18" s="256">
        <f>+F17</f>
        <v>44975</v>
      </c>
      <c r="G18" s="168" t="s">
        <v>115</v>
      </c>
      <c r="H18" s="169"/>
      <c r="I18" s="178">
        <v>5.75</v>
      </c>
      <c r="J18" s="170">
        <f t="shared" si="0"/>
        <v>258606.25</v>
      </c>
      <c r="K18" s="161" t="s">
        <v>219</v>
      </c>
    </row>
    <row r="19" spans="1:15" ht="17.5" customHeight="1" x14ac:dyDescent="0.25">
      <c r="A19" s="162">
        <v>11</v>
      </c>
      <c r="B19" s="163" t="s">
        <v>220</v>
      </c>
      <c r="C19" s="164"/>
      <c r="D19" s="165"/>
      <c r="E19" s="166"/>
      <c r="F19" s="256">
        <f>+F18*9*1.5/27</f>
        <v>22487.5</v>
      </c>
      <c r="G19" s="168" t="s">
        <v>116</v>
      </c>
      <c r="H19" s="169"/>
      <c r="I19" s="178">
        <v>20</v>
      </c>
      <c r="J19" s="170">
        <f t="shared" si="0"/>
        <v>449750</v>
      </c>
      <c r="K19" s="161" t="s">
        <v>221</v>
      </c>
    </row>
    <row r="20" spans="1:15" ht="17.5" customHeight="1" x14ac:dyDescent="0.25">
      <c r="A20" s="162">
        <v>12</v>
      </c>
      <c r="B20" s="163" t="s">
        <v>222</v>
      </c>
      <c r="C20" s="164"/>
      <c r="D20" s="165"/>
      <c r="E20" s="166"/>
      <c r="F20" s="257">
        <v>1000</v>
      </c>
      <c r="G20" s="168" t="s">
        <v>113</v>
      </c>
      <c r="H20" s="169"/>
      <c r="I20" s="178">
        <v>65</v>
      </c>
      <c r="J20" s="170">
        <f t="shared" si="0"/>
        <v>65000</v>
      </c>
      <c r="K20" s="161" t="s">
        <v>223</v>
      </c>
      <c r="M20" s="118">
        <f>571+797+648+849</f>
        <v>2865</v>
      </c>
      <c r="N20" s="118">
        <f>260+230+194+136</f>
        <v>820</v>
      </c>
    </row>
    <row r="21" spans="1:15" ht="17.5" customHeight="1" x14ac:dyDescent="0.25">
      <c r="A21" s="162">
        <v>13</v>
      </c>
      <c r="B21" s="163" t="s">
        <v>224</v>
      </c>
      <c r="C21" s="164"/>
      <c r="D21" s="165"/>
      <c r="E21" s="166"/>
      <c r="F21" s="257">
        <v>350</v>
      </c>
      <c r="G21" s="168" t="s">
        <v>113</v>
      </c>
      <c r="H21" s="169"/>
      <c r="I21" s="178">
        <v>30</v>
      </c>
      <c r="J21" s="170">
        <f t="shared" si="0"/>
        <v>10500</v>
      </c>
      <c r="K21" s="161"/>
    </row>
    <row r="22" spans="1:15" ht="17.5" customHeight="1" x14ac:dyDescent="0.25">
      <c r="A22" s="162">
        <v>14</v>
      </c>
      <c r="B22" s="163" t="s">
        <v>225</v>
      </c>
      <c r="C22" s="164"/>
      <c r="D22" s="165"/>
      <c r="E22" s="166"/>
      <c r="F22" s="258">
        <v>0</v>
      </c>
      <c r="G22" s="168" t="s">
        <v>117</v>
      </c>
      <c r="H22" s="169"/>
      <c r="I22" s="177">
        <v>40000</v>
      </c>
      <c r="J22" s="170">
        <f t="shared" si="0"/>
        <v>0</v>
      </c>
      <c r="K22" s="161"/>
      <c r="M22" s="118" t="s">
        <v>70</v>
      </c>
    </row>
    <row r="23" spans="1:15" ht="17.5" customHeight="1" x14ac:dyDescent="0.25">
      <c r="A23" s="162">
        <v>15</v>
      </c>
      <c r="B23" s="163" t="s">
        <v>226</v>
      </c>
      <c r="C23" s="164"/>
      <c r="D23" s="165"/>
      <c r="E23" s="166"/>
      <c r="F23" s="257">
        <v>0</v>
      </c>
      <c r="G23" s="168" t="s">
        <v>113</v>
      </c>
      <c r="H23" s="169"/>
      <c r="I23" s="178">
        <v>75</v>
      </c>
      <c r="J23" s="170">
        <f t="shared" si="0"/>
        <v>0</v>
      </c>
      <c r="K23" s="161"/>
    </row>
    <row r="24" spans="1:15" ht="17.5" customHeight="1" x14ac:dyDescent="0.25">
      <c r="A24" s="162">
        <v>16</v>
      </c>
      <c r="B24" s="163" t="s">
        <v>227</v>
      </c>
      <c r="C24" s="164"/>
      <c r="D24" s="165"/>
      <c r="E24" s="166"/>
      <c r="F24" s="257">
        <v>0</v>
      </c>
      <c r="G24" s="168" t="s">
        <v>113</v>
      </c>
      <c r="H24" s="169"/>
      <c r="I24" s="178">
        <v>30</v>
      </c>
      <c r="J24" s="170">
        <f t="shared" si="0"/>
        <v>0</v>
      </c>
      <c r="K24" s="161"/>
    </row>
    <row r="25" spans="1:15" ht="17.5" customHeight="1" x14ac:dyDescent="0.25">
      <c r="A25" s="162">
        <v>17</v>
      </c>
      <c r="B25" s="163" t="s">
        <v>228</v>
      </c>
      <c r="C25" s="164"/>
      <c r="D25" s="165"/>
      <c r="E25" s="166"/>
      <c r="F25" s="258">
        <v>0</v>
      </c>
      <c r="G25" s="168" t="s">
        <v>117</v>
      </c>
      <c r="H25" s="169"/>
      <c r="I25" s="177">
        <v>25000</v>
      </c>
      <c r="J25" s="170">
        <f t="shared" si="0"/>
        <v>0</v>
      </c>
      <c r="K25" s="161" t="s">
        <v>229</v>
      </c>
    </row>
    <row r="26" spans="1:15" ht="17.5" customHeight="1" x14ac:dyDescent="0.25">
      <c r="A26" s="162">
        <v>18</v>
      </c>
      <c r="B26" s="163" t="s">
        <v>230</v>
      </c>
      <c r="C26" s="164"/>
      <c r="D26" s="165"/>
      <c r="E26" s="166"/>
      <c r="F26" s="257">
        <f>800*40/9</f>
        <v>3555.5555555555557</v>
      </c>
      <c r="G26" s="168" t="s">
        <v>115</v>
      </c>
      <c r="H26" s="169"/>
      <c r="I26" s="178">
        <v>22</v>
      </c>
      <c r="J26" s="170">
        <f t="shared" si="0"/>
        <v>78222.222222222219</v>
      </c>
      <c r="K26" s="161" t="s">
        <v>254</v>
      </c>
      <c r="L26" s="118" t="s">
        <v>232</v>
      </c>
      <c r="N26" s="179">
        <f>170+120</f>
        <v>290</v>
      </c>
      <c r="O26" s="118" t="s">
        <v>233</v>
      </c>
    </row>
    <row r="27" spans="1:15" ht="17.5" customHeight="1" x14ac:dyDescent="0.25">
      <c r="A27" s="162">
        <v>19</v>
      </c>
      <c r="B27" s="163" t="s">
        <v>234</v>
      </c>
      <c r="C27" s="164"/>
      <c r="D27" s="165"/>
      <c r="E27" s="166"/>
      <c r="F27" s="258">
        <v>1</v>
      </c>
      <c r="G27" s="168" t="s">
        <v>117</v>
      </c>
      <c r="H27" s="169"/>
      <c r="I27" s="177">
        <v>20000</v>
      </c>
      <c r="J27" s="170">
        <f t="shared" si="0"/>
        <v>20000</v>
      </c>
      <c r="K27" s="161"/>
    </row>
    <row r="28" spans="1:15" ht="17.5" customHeight="1" x14ac:dyDescent="0.25">
      <c r="A28" s="260">
        <v>20</v>
      </c>
      <c r="B28" s="261" t="s">
        <v>235</v>
      </c>
      <c r="C28" s="262"/>
      <c r="D28" s="263"/>
      <c r="E28" s="264"/>
      <c r="F28" s="265">
        <v>2</v>
      </c>
      <c r="G28" s="266" t="s">
        <v>112</v>
      </c>
      <c r="H28" s="267"/>
      <c r="I28" s="268">
        <v>2200</v>
      </c>
      <c r="J28" s="269">
        <f t="shared" si="0"/>
        <v>4400</v>
      </c>
      <c r="K28" s="161" t="s">
        <v>236</v>
      </c>
      <c r="L28" s="180">
        <f>SUM(J11:J27)</f>
        <v>3148978.472222222</v>
      </c>
    </row>
    <row r="29" spans="1:15" ht="17.5" customHeight="1" thickBot="1" x14ac:dyDescent="0.3">
      <c r="A29" s="181"/>
      <c r="B29" s="182"/>
      <c r="C29" s="183"/>
      <c r="D29" s="171" t="s">
        <v>207</v>
      </c>
      <c r="E29" s="184"/>
      <c r="F29" s="185"/>
      <c r="G29" s="186"/>
      <c r="H29" s="187"/>
      <c r="I29" s="188"/>
      <c r="J29" s="215">
        <f>+SUM(J11:J28)</f>
        <v>3153378.472222222</v>
      </c>
      <c r="K29" s="161"/>
      <c r="L29" s="180"/>
    </row>
    <row r="30" spans="1:15" ht="17.5" customHeight="1" x14ac:dyDescent="0.25">
      <c r="A30" s="190"/>
      <c r="C30" s="118" t="s">
        <v>70</v>
      </c>
      <c r="F30" s="191" t="s">
        <v>237</v>
      </c>
      <c r="G30" s="192"/>
      <c r="H30" s="192"/>
      <c r="I30" s="193"/>
      <c r="J30" s="216">
        <f>+J9+J29</f>
        <v>3437378.472222222</v>
      </c>
    </row>
    <row r="31" spans="1:15" ht="17.5" customHeight="1" thickBot="1" x14ac:dyDescent="0.3">
      <c r="A31" s="190"/>
      <c r="F31" s="195" t="s">
        <v>238</v>
      </c>
      <c r="G31" s="163"/>
      <c r="H31" s="163"/>
      <c r="I31" s="196">
        <v>0.2</v>
      </c>
      <c r="J31" s="197">
        <f>J30*I31</f>
        <v>687475.6944444445</v>
      </c>
    </row>
    <row r="32" spans="1:15" ht="17.5" customHeight="1" thickTop="1" x14ac:dyDescent="0.25">
      <c r="A32" s="198" t="s">
        <v>260</v>
      </c>
      <c r="B32" s="132"/>
      <c r="C32" s="132"/>
      <c r="D32" s="132"/>
      <c r="F32" s="199" t="s">
        <v>240</v>
      </c>
      <c r="G32" s="200"/>
      <c r="H32" s="200"/>
      <c r="I32" s="201"/>
      <c r="J32" s="217">
        <f>SUM(J30:J31)</f>
        <v>4124854.1666666665</v>
      </c>
    </row>
    <row r="33" spans="1:12" ht="18" customHeight="1" x14ac:dyDescent="0.25">
      <c r="A33" s="203" t="s">
        <v>241</v>
      </c>
      <c r="F33" s="204" t="s">
        <v>242</v>
      </c>
      <c r="G33" s="205"/>
      <c r="H33" s="205"/>
      <c r="I33" s="206">
        <v>0.06</v>
      </c>
      <c r="J33" s="207">
        <f>J32*I33*1/3</f>
        <v>82497.083333333328</v>
      </c>
      <c r="K33" s="118" t="s">
        <v>243</v>
      </c>
    </row>
    <row r="34" spans="1:12" ht="17.5" customHeight="1" thickBot="1" x14ac:dyDescent="0.3">
      <c r="A34" s="198" t="s">
        <v>244</v>
      </c>
      <c r="B34" s="132"/>
      <c r="C34" s="132"/>
      <c r="D34" s="132"/>
      <c r="F34" s="208" t="s">
        <v>245</v>
      </c>
      <c r="G34" s="209"/>
      <c r="H34" s="209"/>
      <c r="I34" s="210"/>
      <c r="J34" s="211">
        <f>+ROUND(J32+J33,-3)</f>
        <v>4207000</v>
      </c>
    </row>
    <row r="35" spans="1:12" ht="17.5" customHeight="1" thickBot="1" x14ac:dyDescent="0.3">
      <c r="A35" s="190" t="s">
        <v>246</v>
      </c>
      <c r="I35" s="212"/>
      <c r="J35" s="213"/>
      <c r="L35" s="118" t="e">
        <f>+#REF!/#REF!</f>
        <v>#REF!</v>
      </c>
    </row>
    <row r="36" spans="1:12" ht="17.5" customHeight="1" x14ac:dyDescent="0.25">
      <c r="A36" s="752" t="s">
        <v>247</v>
      </c>
      <c r="B36" s="753"/>
      <c r="C36" s="753"/>
      <c r="D36" s="753"/>
      <c r="E36" s="753"/>
      <c r="F36" s="753"/>
      <c r="G36" s="753"/>
      <c r="H36" s="753"/>
      <c r="I36" s="753"/>
      <c r="J36" s="754"/>
    </row>
    <row r="37" spans="1:12" x14ac:dyDescent="0.25">
      <c r="A37" s="755"/>
      <c r="B37" s="756"/>
      <c r="C37" s="756"/>
      <c r="D37" s="756"/>
      <c r="E37" s="756"/>
      <c r="F37" s="756"/>
      <c r="G37" s="756"/>
      <c r="H37" s="756"/>
      <c r="I37" s="756"/>
      <c r="J37" s="757"/>
    </row>
    <row r="38" spans="1:12" ht="10.5" thickBot="1" x14ac:dyDescent="0.3">
      <c r="A38" s="758"/>
      <c r="B38" s="759"/>
      <c r="C38" s="759"/>
      <c r="D38" s="759"/>
      <c r="E38" s="759"/>
      <c r="F38" s="759"/>
      <c r="G38" s="759"/>
      <c r="H38" s="759"/>
      <c r="I38" s="759"/>
      <c r="J38" s="760"/>
    </row>
  </sheetData>
  <sheetProtection algorithmName="SHA-512" hashValue="eP12be5CpZz9Cs5p3msx9Yy2ICV/JZmdtLMcXbH79wjw5KKNHa0sm7i8D935KV0LU26GNJzKztGEUPCgwtwEOg==" saltValue="nfirOF/qc200cjaBUFIidA==" spinCount="100000" sheet="1" objects="1" scenarios="1"/>
  <mergeCells count="3">
    <mergeCell ref="B5:E5"/>
    <mergeCell ref="B10:E10"/>
    <mergeCell ref="A36:J38"/>
  </mergeCells>
  <pageMargins left="0.7" right="0.7" top="0.75" bottom="0.75" header="0.3" footer="0.3"/>
  <pageSetup scale="9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5E70-12CA-4F27-9FB8-6BBE42B7E039}">
  <sheetPr codeName="Sheet20">
    <tabColor theme="0" tint="-0.34998626667073579"/>
    <pageSetUpPr fitToPage="1"/>
  </sheetPr>
  <dimension ref="A1:O38"/>
  <sheetViews>
    <sheetView workbookViewId="0">
      <selection activeCell="J15" sqref="J15"/>
    </sheetView>
  </sheetViews>
  <sheetFormatPr defaultColWidth="9.1796875" defaultRowHeight="10" x14ac:dyDescent="0.25"/>
  <cols>
    <col min="1" max="1" width="8.453125" style="118" customWidth="1"/>
    <col min="2" max="4" width="11" style="118" customWidth="1"/>
    <col min="5" max="7" width="10.1796875" style="118" customWidth="1"/>
    <col min="8" max="8" width="0" style="118" hidden="1" customWidth="1"/>
    <col min="9" max="9" width="10.7265625" style="118" customWidth="1"/>
    <col min="10" max="10" width="12.7265625" style="118" customWidth="1"/>
    <col min="11" max="11" width="63.1796875" style="118" customWidth="1"/>
    <col min="12" max="12" width="12.1796875" style="118" bestFit="1" customWidth="1"/>
    <col min="13" max="13" width="9.1796875" style="118"/>
    <col min="14" max="14" width="12.1796875" style="118" bestFit="1" customWidth="1"/>
    <col min="15" max="16384" width="9.1796875" style="118"/>
  </cols>
  <sheetData>
    <row r="1" spans="1:11" ht="40.5" customHeight="1" x14ac:dyDescent="0.3">
      <c r="A1" s="112"/>
      <c r="B1" s="113"/>
      <c r="C1" s="113"/>
      <c r="D1" s="113"/>
      <c r="E1" s="114"/>
      <c r="F1" s="114"/>
      <c r="G1" s="114"/>
      <c r="H1" s="115"/>
      <c r="I1" s="116" t="s">
        <v>70</v>
      </c>
      <c r="J1" s="117" t="s">
        <v>70</v>
      </c>
    </row>
    <row r="2" spans="1:11" ht="20.149999999999999" customHeight="1" thickBot="1" x14ac:dyDescent="0.3">
      <c r="A2" s="119" t="s">
        <v>189</v>
      </c>
      <c r="B2" s="120"/>
      <c r="E2" s="121"/>
      <c r="F2" s="121"/>
      <c r="G2" s="121"/>
      <c r="H2" s="122"/>
      <c r="I2" s="121"/>
      <c r="J2" s="123"/>
    </row>
    <row r="3" spans="1:11" ht="20.149999999999999" customHeight="1" thickTop="1" x14ac:dyDescent="0.25">
      <c r="A3" s="124" t="s">
        <v>190</v>
      </c>
      <c r="B3" s="125"/>
      <c r="C3" s="126"/>
      <c r="D3" s="126"/>
      <c r="E3" s="127" t="s">
        <v>191</v>
      </c>
      <c r="F3" s="125"/>
      <c r="G3" s="128" t="s">
        <v>70</v>
      </c>
      <c r="H3" s="129"/>
      <c r="I3" s="125" t="s">
        <v>192</v>
      </c>
      <c r="J3" s="130">
        <v>44544</v>
      </c>
    </row>
    <row r="4" spans="1:11" ht="20.149999999999999" customHeight="1" x14ac:dyDescent="0.25">
      <c r="A4" s="131" t="s">
        <v>255</v>
      </c>
      <c r="B4" s="132"/>
      <c r="C4" s="133"/>
      <c r="D4" s="133"/>
      <c r="E4" s="134" t="s">
        <v>194</v>
      </c>
      <c r="F4" s="132"/>
      <c r="G4" s="135" t="s">
        <v>70</v>
      </c>
      <c r="H4" s="136"/>
      <c r="I4" s="137"/>
      <c r="J4" s="138"/>
    </row>
    <row r="5" spans="1:11" ht="20.149999999999999" customHeight="1" x14ac:dyDescent="0.25">
      <c r="A5" s="139"/>
      <c r="B5" s="746" t="s">
        <v>252</v>
      </c>
      <c r="C5" s="747"/>
      <c r="D5" s="747"/>
      <c r="E5" s="748"/>
      <c r="F5" s="140"/>
      <c r="G5" s="141"/>
      <c r="H5" s="142"/>
      <c r="I5" s="143"/>
      <c r="J5" s="144"/>
    </row>
    <row r="6" spans="1:11" ht="20.149999999999999" customHeight="1" thickBot="1" x14ac:dyDescent="0.3">
      <c r="A6" s="145" t="s">
        <v>196</v>
      </c>
      <c r="B6" s="146" t="s">
        <v>197</v>
      </c>
      <c r="C6" s="146"/>
      <c r="D6" s="146"/>
      <c r="E6" s="147"/>
      <c r="F6" s="148" t="s">
        <v>198</v>
      </c>
      <c r="G6" s="148" t="s">
        <v>199</v>
      </c>
      <c r="H6" s="149"/>
      <c r="I6" s="148" t="s">
        <v>200</v>
      </c>
      <c r="J6" s="150" t="s">
        <v>201</v>
      </c>
      <c r="K6" s="151" t="s">
        <v>202</v>
      </c>
    </row>
    <row r="7" spans="1:11" ht="17.5" customHeight="1" x14ac:dyDescent="0.25">
      <c r="A7" s="152">
        <v>1</v>
      </c>
      <c r="B7" s="118" t="s">
        <v>203</v>
      </c>
      <c r="C7" s="153"/>
      <c r="D7" s="154"/>
      <c r="E7" s="155"/>
      <c r="F7" s="156">
        <v>1</v>
      </c>
      <c r="G7" s="157" t="s">
        <v>117</v>
      </c>
      <c r="H7" s="158"/>
      <c r="I7" s="159">
        <f>ROUNDUP(+L28*0.05,-3)</f>
        <v>159000</v>
      </c>
      <c r="J7" s="160">
        <f>F7*I7</f>
        <v>159000</v>
      </c>
      <c r="K7" s="161" t="s">
        <v>204</v>
      </c>
    </row>
    <row r="8" spans="1:11" ht="17.5" customHeight="1" x14ac:dyDescent="0.25">
      <c r="A8" s="162">
        <v>2</v>
      </c>
      <c r="B8" s="163" t="s">
        <v>205</v>
      </c>
      <c r="C8" s="164"/>
      <c r="D8" s="165"/>
      <c r="E8" s="166"/>
      <c r="F8" s="167">
        <v>1</v>
      </c>
      <c r="G8" s="168" t="s">
        <v>117</v>
      </c>
      <c r="H8" s="169"/>
      <c r="I8" s="159">
        <f>ROUNDUP(+L28*0.04,-3)</f>
        <v>127000</v>
      </c>
      <c r="J8" s="170">
        <f t="shared" ref="J8:J28" si="0">F8*I8</f>
        <v>127000</v>
      </c>
      <c r="K8" s="161" t="s">
        <v>206</v>
      </c>
    </row>
    <row r="9" spans="1:11" ht="17.5" customHeight="1" x14ac:dyDescent="0.25">
      <c r="A9" s="162"/>
      <c r="B9" s="163"/>
      <c r="C9" s="164"/>
      <c r="D9" s="171" t="s">
        <v>137</v>
      </c>
      <c r="E9" s="166"/>
      <c r="F9" s="167"/>
      <c r="G9" s="168"/>
      <c r="H9" s="169"/>
      <c r="I9" s="159"/>
      <c r="J9" s="172">
        <f>+SUM(J7:J8)</f>
        <v>286000</v>
      </c>
      <c r="K9" s="161"/>
    </row>
    <row r="10" spans="1:11" ht="17.5" customHeight="1" x14ac:dyDescent="0.25">
      <c r="A10" s="173"/>
      <c r="B10" s="749" t="s">
        <v>256</v>
      </c>
      <c r="C10" s="750"/>
      <c r="D10" s="750"/>
      <c r="E10" s="751"/>
      <c r="F10" s="140"/>
      <c r="G10" s="141"/>
      <c r="H10" s="142"/>
      <c r="I10" s="174"/>
      <c r="J10" s="175"/>
      <c r="K10" s="161"/>
    </row>
    <row r="11" spans="1:11" ht="17.5" customHeight="1" x14ac:dyDescent="0.25">
      <c r="A11" s="162">
        <v>3</v>
      </c>
      <c r="B11" s="163" t="s">
        <v>118</v>
      </c>
      <c r="C11" s="164"/>
      <c r="D11" s="165"/>
      <c r="E11" s="166"/>
      <c r="F11" s="259">
        <v>11.8</v>
      </c>
      <c r="G11" s="176" t="s">
        <v>112</v>
      </c>
      <c r="H11" s="169"/>
      <c r="I11" s="177">
        <v>2500</v>
      </c>
      <c r="J11" s="170">
        <f t="shared" si="0"/>
        <v>29500</v>
      </c>
      <c r="K11" s="161"/>
    </row>
    <row r="12" spans="1:11" ht="17.5" customHeight="1" x14ac:dyDescent="0.25">
      <c r="A12" s="162">
        <v>4</v>
      </c>
      <c r="B12" s="163" t="s">
        <v>209</v>
      </c>
      <c r="C12" s="164"/>
      <c r="D12" s="165"/>
      <c r="E12" s="166"/>
      <c r="F12" s="256">
        <v>38000</v>
      </c>
      <c r="G12" s="176" t="s">
        <v>116</v>
      </c>
      <c r="H12" s="169"/>
      <c r="I12" s="178">
        <v>1.35</v>
      </c>
      <c r="J12" s="170">
        <f t="shared" si="0"/>
        <v>51300</v>
      </c>
      <c r="K12" s="161"/>
    </row>
    <row r="13" spans="1:11" ht="17.5" customHeight="1" x14ac:dyDescent="0.25">
      <c r="A13" s="162">
        <v>5</v>
      </c>
      <c r="B13" s="163" t="s">
        <v>210</v>
      </c>
      <c r="C13" s="164"/>
      <c r="D13" s="165"/>
      <c r="E13" s="166"/>
      <c r="F13" s="256">
        <f>696000-F12</f>
        <v>658000</v>
      </c>
      <c r="G13" s="168" t="s">
        <v>116</v>
      </c>
      <c r="H13" s="169"/>
      <c r="I13" s="178">
        <v>1.25</v>
      </c>
      <c r="J13" s="170">
        <f t="shared" si="0"/>
        <v>822500</v>
      </c>
      <c r="K13" s="161"/>
    </row>
    <row r="14" spans="1:11" ht="17.5" customHeight="1" x14ac:dyDescent="0.25">
      <c r="A14" s="162">
        <v>6</v>
      </c>
      <c r="B14" s="163" t="s">
        <v>211</v>
      </c>
      <c r="C14" s="164"/>
      <c r="D14" s="165"/>
      <c r="E14" s="166"/>
      <c r="F14" s="256">
        <v>14000</v>
      </c>
      <c r="G14" s="168" t="s">
        <v>116</v>
      </c>
      <c r="H14" s="169"/>
      <c r="I14" s="178">
        <v>2.25</v>
      </c>
      <c r="J14" s="170">
        <f t="shared" si="0"/>
        <v>31500</v>
      </c>
      <c r="K14" s="161"/>
    </row>
    <row r="15" spans="1:11" ht="17.5" customHeight="1" x14ac:dyDescent="0.25">
      <c r="A15" s="162">
        <v>7</v>
      </c>
      <c r="B15" s="163" t="s">
        <v>212</v>
      </c>
      <c r="C15" s="164"/>
      <c r="D15" s="165"/>
      <c r="E15" s="166"/>
      <c r="F15" s="256">
        <v>646000</v>
      </c>
      <c r="G15" s="168" t="s">
        <v>116</v>
      </c>
      <c r="H15" s="169"/>
      <c r="I15" s="178">
        <v>1</v>
      </c>
      <c r="J15" s="170">
        <f t="shared" si="0"/>
        <v>646000</v>
      </c>
      <c r="K15" s="161" t="s">
        <v>213</v>
      </c>
    </row>
    <row r="16" spans="1:11" ht="17.5" customHeight="1" x14ac:dyDescent="0.25">
      <c r="A16" s="162">
        <v>8</v>
      </c>
      <c r="B16" s="163" t="s">
        <v>214</v>
      </c>
      <c r="C16" s="164"/>
      <c r="D16" s="165"/>
      <c r="E16" s="166"/>
      <c r="F16" s="256">
        <v>55125</v>
      </c>
      <c r="G16" s="168" t="s">
        <v>115</v>
      </c>
      <c r="H16" s="169"/>
      <c r="I16" s="178">
        <v>0.5</v>
      </c>
      <c r="J16" s="170">
        <f t="shared" si="0"/>
        <v>27562.5</v>
      </c>
      <c r="K16" s="161" t="s">
        <v>215</v>
      </c>
    </row>
    <row r="17" spans="1:15" ht="17.5" customHeight="1" x14ac:dyDescent="0.25">
      <c r="A17" s="162">
        <v>9</v>
      </c>
      <c r="B17" s="163" t="s">
        <v>216</v>
      </c>
      <c r="C17" s="164"/>
      <c r="D17" s="165"/>
      <c r="E17" s="166"/>
      <c r="F17" s="256">
        <f>+F16</f>
        <v>55125</v>
      </c>
      <c r="G17" s="168" t="s">
        <v>115</v>
      </c>
      <c r="H17" s="169"/>
      <c r="I17" s="178">
        <v>5.5</v>
      </c>
      <c r="J17" s="170">
        <f t="shared" si="0"/>
        <v>303187.5</v>
      </c>
      <c r="K17" s="161" t="s">
        <v>217</v>
      </c>
    </row>
    <row r="18" spans="1:15" ht="17.5" customHeight="1" x14ac:dyDescent="0.25">
      <c r="A18" s="162">
        <v>10</v>
      </c>
      <c r="B18" s="163" t="s">
        <v>218</v>
      </c>
      <c r="C18" s="164"/>
      <c r="D18" s="165"/>
      <c r="E18" s="166"/>
      <c r="F18" s="256">
        <f>+F17</f>
        <v>55125</v>
      </c>
      <c r="G18" s="168" t="s">
        <v>115</v>
      </c>
      <c r="H18" s="169"/>
      <c r="I18" s="178">
        <v>5.75</v>
      </c>
      <c r="J18" s="170">
        <f t="shared" si="0"/>
        <v>316968.75</v>
      </c>
      <c r="K18" s="161" t="s">
        <v>219</v>
      </c>
    </row>
    <row r="19" spans="1:15" ht="17.5" customHeight="1" x14ac:dyDescent="0.25">
      <c r="A19" s="162">
        <v>11</v>
      </c>
      <c r="B19" s="163" t="s">
        <v>220</v>
      </c>
      <c r="C19" s="164"/>
      <c r="D19" s="165"/>
      <c r="E19" s="166"/>
      <c r="F19" s="256">
        <f>+F18*9*1.5/27</f>
        <v>27562.5</v>
      </c>
      <c r="G19" s="168" t="s">
        <v>116</v>
      </c>
      <c r="H19" s="169"/>
      <c r="I19" s="178">
        <v>20</v>
      </c>
      <c r="J19" s="170">
        <f t="shared" si="0"/>
        <v>551250</v>
      </c>
      <c r="K19" s="161" t="s">
        <v>221</v>
      </c>
    </row>
    <row r="20" spans="1:15" ht="17.5" customHeight="1" x14ac:dyDescent="0.25">
      <c r="A20" s="162">
        <v>12</v>
      </c>
      <c r="B20" s="163" t="s">
        <v>222</v>
      </c>
      <c r="C20" s="164"/>
      <c r="D20" s="165"/>
      <c r="E20" s="166"/>
      <c r="F20" s="257">
        <v>1250</v>
      </c>
      <c r="G20" s="168" t="s">
        <v>113</v>
      </c>
      <c r="H20" s="169"/>
      <c r="I20" s="178">
        <v>65</v>
      </c>
      <c r="J20" s="170">
        <f t="shared" si="0"/>
        <v>81250</v>
      </c>
      <c r="K20" s="161" t="s">
        <v>223</v>
      </c>
      <c r="M20" s="118">
        <f>571+797+648+849</f>
        <v>2865</v>
      </c>
      <c r="N20" s="118">
        <f>260+230+194+136</f>
        <v>820</v>
      </c>
    </row>
    <row r="21" spans="1:15" ht="17.5" customHeight="1" x14ac:dyDescent="0.25">
      <c r="A21" s="162">
        <v>13</v>
      </c>
      <c r="B21" s="163" t="s">
        <v>224</v>
      </c>
      <c r="C21" s="164"/>
      <c r="D21" s="165"/>
      <c r="E21" s="166"/>
      <c r="F21" s="257">
        <v>1200</v>
      </c>
      <c r="G21" s="168" t="s">
        <v>113</v>
      </c>
      <c r="H21" s="169"/>
      <c r="I21" s="178">
        <v>30</v>
      </c>
      <c r="J21" s="170">
        <f t="shared" si="0"/>
        <v>36000</v>
      </c>
      <c r="K21" s="161"/>
    </row>
    <row r="22" spans="1:15" ht="17.5" customHeight="1" x14ac:dyDescent="0.25">
      <c r="A22" s="162">
        <v>14</v>
      </c>
      <c r="B22" s="163" t="s">
        <v>225</v>
      </c>
      <c r="C22" s="164"/>
      <c r="D22" s="165"/>
      <c r="E22" s="166"/>
      <c r="F22" s="258">
        <v>0</v>
      </c>
      <c r="G22" s="168" t="s">
        <v>117</v>
      </c>
      <c r="H22" s="169"/>
      <c r="I22" s="177">
        <v>40000</v>
      </c>
      <c r="J22" s="170">
        <f t="shared" si="0"/>
        <v>0</v>
      </c>
      <c r="K22" s="161"/>
      <c r="M22" s="118" t="s">
        <v>70</v>
      </c>
    </row>
    <row r="23" spans="1:15" ht="17.5" customHeight="1" x14ac:dyDescent="0.25">
      <c r="A23" s="162">
        <v>15</v>
      </c>
      <c r="B23" s="163" t="s">
        <v>226</v>
      </c>
      <c r="C23" s="164"/>
      <c r="D23" s="165"/>
      <c r="E23" s="166"/>
      <c r="F23" s="257">
        <v>0</v>
      </c>
      <c r="G23" s="168" t="s">
        <v>113</v>
      </c>
      <c r="H23" s="169"/>
      <c r="I23" s="178">
        <v>75</v>
      </c>
      <c r="J23" s="170">
        <f t="shared" si="0"/>
        <v>0</v>
      </c>
      <c r="K23" s="161"/>
    </row>
    <row r="24" spans="1:15" ht="17.5" customHeight="1" x14ac:dyDescent="0.25">
      <c r="A24" s="162">
        <v>16</v>
      </c>
      <c r="B24" s="163" t="s">
        <v>227</v>
      </c>
      <c r="C24" s="164"/>
      <c r="D24" s="165"/>
      <c r="E24" s="166"/>
      <c r="F24" s="257">
        <v>0</v>
      </c>
      <c r="G24" s="168" t="s">
        <v>113</v>
      </c>
      <c r="H24" s="169"/>
      <c r="I24" s="178">
        <v>30</v>
      </c>
      <c r="J24" s="170">
        <f t="shared" si="0"/>
        <v>0</v>
      </c>
      <c r="K24" s="161"/>
    </row>
    <row r="25" spans="1:15" ht="17.5" customHeight="1" x14ac:dyDescent="0.25">
      <c r="A25" s="162">
        <v>17</v>
      </c>
      <c r="B25" s="163" t="s">
        <v>228</v>
      </c>
      <c r="C25" s="164"/>
      <c r="D25" s="165"/>
      <c r="E25" s="166"/>
      <c r="F25" s="258">
        <v>0</v>
      </c>
      <c r="G25" s="168" t="s">
        <v>117</v>
      </c>
      <c r="H25" s="169"/>
      <c r="I25" s="177">
        <v>25000</v>
      </c>
      <c r="J25" s="170">
        <f t="shared" si="0"/>
        <v>0</v>
      </c>
      <c r="K25" s="161" t="s">
        <v>229</v>
      </c>
    </row>
    <row r="26" spans="1:15" ht="17.5" customHeight="1" x14ac:dyDescent="0.25">
      <c r="A26" s="162">
        <v>18</v>
      </c>
      <c r="B26" s="163" t="s">
        <v>230</v>
      </c>
      <c r="C26" s="164"/>
      <c r="D26" s="165"/>
      <c r="E26" s="166"/>
      <c r="F26" s="257">
        <f>2500*40/9</f>
        <v>11111.111111111111</v>
      </c>
      <c r="G26" s="168" t="s">
        <v>115</v>
      </c>
      <c r="H26" s="169"/>
      <c r="I26" s="178">
        <v>22</v>
      </c>
      <c r="J26" s="170">
        <f t="shared" si="0"/>
        <v>244444.44444444444</v>
      </c>
      <c r="K26" s="161" t="s">
        <v>257</v>
      </c>
      <c r="L26" s="118" t="s">
        <v>232</v>
      </c>
      <c r="N26" s="179">
        <f>170+120</f>
        <v>290</v>
      </c>
      <c r="O26" s="118" t="s">
        <v>233</v>
      </c>
    </row>
    <row r="27" spans="1:15" ht="17.5" customHeight="1" x14ac:dyDescent="0.25">
      <c r="A27" s="162">
        <v>19</v>
      </c>
      <c r="B27" s="163" t="s">
        <v>234</v>
      </c>
      <c r="C27" s="164"/>
      <c r="D27" s="165"/>
      <c r="E27" s="166"/>
      <c r="F27" s="258">
        <v>1</v>
      </c>
      <c r="G27" s="168" t="s">
        <v>117</v>
      </c>
      <c r="H27" s="169"/>
      <c r="I27" s="177">
        <v>20000</v>
      </c>
      <c r="J27" s="170">
        <f t="shared" si="0"/>
        <v>20000</v>
      </c>
      <c r="K27" s="161"/>
    </row>
    <row r="28" spans="1:15" ht="17.5" customHeight="1" x14ac:dyDescent="0.25">
      <c r="A28" s="260">
        <v>20</v>
      </c>
      <c r="B28" s="261" t="s">
        <v>235</v>
      </c>
      <c r="C28" s="262"/>
      <c r="D28" s="263"/>
      <c r="E28" s="264"/>
      <c r="F28" s="265">
        <v>2</v>
      </c>
      <c r="G28" s="266" t="s">
        <v>112</v>
      </c>
      <c r="H28" s="267"/>
      <c r="I28" s="268">
        <v>2200</v>
      </c>
      <c r="J28" s="269">
        <f t="shared" si="0"/>
        <v>4400</v>
      </c>
      <c r="K28" s="161" t="s">
        <v>236</v>
      </c>
      <c r="L28" s="180">
        <f>SUM(J11:J27)</f>
        <v>3161463.1944444445</v>
      </c>
    </row>
    <row r="29" spans="1:15" ht="17.5" customHeight="1" thickBot="1" x14ac:dyDescent="0.3">
      <c r="A29" s="181"/>
      <c r="B29" s="182"/>
      <c r="C29" s="183"/>
      <c r="D29" s="171" t="s">
        <v>137</v>
      </c>
      <c r="E29" s="184"/>
      <c r="F29" s="185"/>
      <c r="G29" s="186"/>
      <c r="H29" s="187"/>
      <c r="I29" s="188"/>
      <c r="J29" s="215">
        <f>+SUM(J11:J28)</f>
        <v>3165863.1944444445</v>
      </c>
      <c r="K29" s="161"/>
      <c r="L29" s="180"/>
    </row>
    <row r="30" spans="1:15" ht="17.5" customHeight="1" x14ac:dyDescent="0.25">
      <c r="A30" s="190"/>
      <c r="C30" s="118" t="s">
        <v>70</v>
      </c>
      <c r="F30" s="191" t="s">
        <v>237</v>
      </c>
      <c r="G30" s="192"/>
      <c r="H30" s="192"/>
      <c r="I30" s="193"/>
      <c r="J30" s="216">
        <f>+J9+J29</f>
        <v>3451863.1944444445</v>
      </c>
    </row>
    <row r="31" spans="1:15" ht="17.5" customHeight="1" thickBot="1" x14ac:dyDescent="0.3">
      <c r="A31" s="190"/>
      <c r="F31" s="195" t="s">
        <v>238</v>
      </c>
      <c r="G31" s="163"/>
      <c r="H31" s="163"/>
      <c r="I31" s="196">
        <v>0.2</v>
      </c>
      <c r="J31" s="197">
        <f>J30*I31</f>
        <v>690372.63888888899</v>
      </c>
    </row>
    <row r="32" spans="1:15" ht="17.5" customHeight="1" thickTop="1" x14ac:dyDescent="0.25">
      <c r="A32" s="198" t="s">
        <v>260</v>
      </c>
      <c r="B32" s="132"/>
      <c r="C32" s="132"/>
      <c r="D32" s="132"/>
      <c r="F32" s="199" t="s">
        <v>240</v>
      </c>
      <c r="G32" s="200"/>
      <c r="H32" s="200"/>
      <c r="I32" s="201"/>
      <c r="J32" s="217">
        <f>SUM(J30:J31)</f>
        <v>4142235.8333333335</v>
      </c>
    </row>
    <row r="33" spans="1:12" ht="18" customHeight="1" x14ac:dyDescent="0.25">
      <c r="A33" s="203" t="s">
        <v>241</v>
      </c>
      <c r="F33" s="204" t="s">
        <v>242</v>
      </c>
      <c r="G33" s="205"/>
      <c r="H33" s="205"/>
      <c r="I33" s="206">
        <v>0.06</v>
      </c>
      <c r="J33" s="207">
        <f>J32*I33*1/3</f>
        <v>82844.71666666666</v>
      </c>
      <c r="K33" s="118" t="s">
        <v>243</v>
      </c>
    </row>
    <row r="34" spans="1:12" ht="17.5" customHeight="1" thickBot="1" x14ac:dyDescent="0.3">
      <c r="A34" s="198" t="s">
        <v>244</v>
      </c>
      <c r="B34" s="132"/>
      <c r="C34" s="132"/>
      <c r="D34" s="132"/>
      <c r="F34" s="208" t="s">
        <v>245</v>
      </c>
      <c r="G34" s="209"/>
      <c r="H34" s="209"/>
      <c r="I34" s="210"/>
      <c r="J34" s="211">
        <f>+ROUND(J32+J33,-3)</f>
        <v>4225000</v>
      </c>
    </row>
    <row r="35" spans="1:12" ht="17.5" customHeight="1" thickBot="1" x14ac:dyDescent="0.3">
      <c r="A35" s="190" t="s">
        <v>246</v>
      </c>
      <c r="I35" s="212"/>
      <c r="J35" s="213"/>
      <c r="L35" s="118" t="e">
        <f>+#REF!/#REF!</f>
        <v>#REF!</v>
      </c>
    </row>
    <row r="36" spans="1:12" ht="17.5" customHeight="1" x14ac:dyDescent="0.25">
      <c r="A36" s="752" t="s">
        <v>247</v>
      </c>
      <c r="B36" s="753"/>
      <c r="C36" s="753"/>
      <c r="D36" s="753"/>
      <c r="E36" s="753"/>
      <c r="F36" s="753"/>
      <c r="G36" s="753"/>
      <c r="H36" s="753"/>
      <c r="I36" s="753"/>
      <c r="J36" s="754"/>
    </row>
    <row r="37" spans="1:12" x14ac:dyDescent="0.25">
      <c r="A37" s="755"/>
      <c r="B37" s="756"/>
      <c r="C37" s="756"/>
      <c r="D37" s="756"/>
      <c r="E37" s="756"/>
      <c r="F37" s="756"/>
      <c r="G37" s="756"/>
      <c r="H37" s="756"/>
      <c r="I37" s="756"/>
      <c r="J37" s="757"/>
    </row>
    <row r="38" spans="1:12" ht="10.5" thickBot="1" x14ac:dyDescent="0.3">
      <c r="A38" s="758"/>
      <c r="B38" s="759"/>
      <c r="C38" s="759"/>
      <c r="D38" s="759"/>
      <c r="E38" s="759"/>
      <c r="F38" s="759"/>
      <c r="G38" s="759"/>
      <c r="H38" s="759"/>
      <c r="I38" s="759"/>
      <c r="J38" s="760"/>
    </row>
  </sheetData>
  <sheetProtection algorithmName="SHA-512" hashValue="N2QP+RTrJzeGZBgCVp6jxHpcVWZ7XGCSH3N/G6V/ua6zVjtn1QnQThHco4Kc1dlv4r6jPg2MDR6LzgdL2efYTw==" saltValue="H2FPP9jqhbIC85Q4HwhbUg==" spinCount="100000" sheet="1" objects="1" scenarios="1"/>
  <mergeCells count="3">
    <mergeCell ref="B5:E5"/>
    <mergeCell ref="B10:E10"/>
    <mergeCell ref="A36:J38"/>
  </mergeCells>
  <pageMargins left="0.7" right="0.7" top="0.75" bottom="0.75" header="0.3" footer="0.3"/>
  <pageSetup scale="9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14DCA-C476-4BA4-A491-9877186C3EA2}">
  <sheetPr codeName="Sheet23">
    <tabColor theme="0" tint="-0.34998626667073579"/>
  </sheetPr>
  <dimension ref="A1:E38"/>
  <sheetViews>
    <sheetView workbookViewId="0">
      <selection activeCell="E11" sqref="E11"/>
    </sheetView>
  </sheetViews>
  <sheetFormatPr defaultColWidth="9.1796875" defaultRowHeight="14.5" x14ac:dyDescent="0.35"/>
  <cols>
    <col min="1" max="1" width="15.81640625" style="395" bestFit="1" customWidth="1"/>
    <col min="2" max="2" width="10.81640625" style="395" bestFit="1" customWidth="1"/>
    <col min="3" max="3" width="9.1796875" style="395"/>
    <col min="4" max="4" width="15.81640625" style="395" bestFit="1" customWidth="1"/>
    <col min="5" max="5" width="11.81640625" style="395" bestFit="1" customWidth="1"/>
    <col min="6" max="16384" width="9.1796875" style="395"/>
  </cols>
  <sheetData>
    <row r="1" spans="1:5" x14ac:dyDescent="0.35">
      <c r="A1" s="761" t="s">
        <v>398</v>
      </c>
      <c r="B1" s="761"/>
      <c r="C1">
        <v>1</v>
      </c>
      <c r="D1" s="761" t="s">
        <v>399</v>
      </c>
      <c r="E1" s="762"/>
    </row>
    <row r="2" spans="1:5" x14ac:dyDescent="0.35">
      <c r="A2" t="s">
        <v>400</v>
      </c>
      <c r="B2" s="486">
        <v>70000</v>
      </c>
      <c r="C2"/>
      <c r="D2" t="s">
        <v>351</v>
      </c>
      <c r="E2" s="486">
        <v>52000</v>
      </c>
    </row>
    <row r="3" spans="1:5" x14ac:dyDescent="0.35">
      <c r="A3" t="s">
        <v>350</v>
      </c>
      <c r="B3" s="487">
        <f>B2*11.94%</f>
        <v>8358</v>
      </c>
      <c r="C3"/>
      <c r="D3" t="s">
        <v>350</v>
      </c>
      <c r="E3" s="487">
        <f>E2*11.94%</f>
        <v>6208.7999999999993</v>
      </c>
    </row>
    <row r="4" spans="1:5" x14ac:dyDescent="0.35">
      <c r="A4" t="s">
        <v>349</v>
      </c>
      <c r="B4" s="487">
        <f>B2*6.2%</f>
        <v>4340</v>
      </c>
      <c r="C4"/>
      <c r="D4" t="s">
        <v>349</v>
      </c>
      <c r="E4" s="487">
        <f>E2*6.2%</f>
        <v>3224</v>
      </c>
    </row>
    <row r="5" spans="1:5" x14ac:dyDescent="0.35">
      <c r="A5" t="s">
        <v>348</v>
      </c>
      <c r="B5" s="487">
        <f>B2*1.45%</f>
        <v>1014.9999999999999</v>
      </c>
      <c r="C5"/>
      <c r="D5" t="s">
        <v>348</v>
      </c>
      <c r="E5" s="487">
        <f>E2*1.45%</f>
        <v>754</v>
      </c>
    </row>
    <row r="6" spans="1:5" x14ac:dyDescent="0.35">
      <c r="A6" t="s">
        <v>347</v>
      </c>
      <c r="B6" s="487">
        <v>18077.759999999998</v>
      </c>
      <c r="C6"/>
      <c r="D6" t="s">
        <v>347</v>
      </c>
      <c r="E6" s="487">
        <v>18077.759999999998</v>
      </c>
    </row>
    <row r="7" spans="1:5" x14ac:dyDescent="0.35">
      <c r="A7" t="s">
        <v>401</v>
      </c>
      <c r="B7" s="487">
        <v>60</v>
      </c>
      <c r="C7"/>
      <c r="D7" t="s">
        <v>401</v>
      </c>
      <c r="E7" s="487">
        <v>60</v>
      </c>
    </row>
    <row r="8" spans="1:5" x14ac:dyDescent="0.35">
      <c r="A8" t="s">
        <v>354</v>
      </c>
      <c r="B8" s="487">
        <v>2000</v>
      </c>
      <c r="C8"/>
      <c r="D8" t="s">
        <v>354</v>
      </c>
      <c r="E8" s="487">
        <v>2000</v>
      </c>
    </row>
    <row r="9" spans="1:5" x14ac:dyDescent="0.35">
      <c r="A9" t="s">
        <v>353</v>
      </c>
      <c r="B9" s="487">
        <v>408.36</v>
      </c>
      <c r="C9"/>
      <c r="D9" t="s">
        <v>353</v>
      </c>
      <c r="E9" s="487">
        <v>408.36</v>
      </c>
    </row>
    <row r="10" spans="1:5" x14ac:dyDescent="0.35">
      <c r="A10" t="s">
        <v>352</v>
      </c>
      <c r="B10" s="486">
        <f>B2*4%</f>
        <v>2800</v>
      </c>
      <c r="C10"/>
      <c r="D10" t="s">
        <v>352</v>
      </c>
      <c r="E10" s="487">
        <f>E2*4%</f>
        <v>2080</v>
      </c>
    </row>
    <row r="11" spans="1:5" x14ac:dyDescent="0.35">
      <c r="A11" t="s">
        <v>402</v>
      </c>
      <c r="B11" s="487">
        <v>300</v>
      </c>
      <c r="C11"/>
      <c r="D11" t="s">
        <v>402</v>
      </c>
      <c r="E11" s="487">
        <v>300</v>
      </c>
    </row>
    <row r="12" spans="1:5" x14ac:dyDescent="0.35">
      <c r="A12"/>
      <c r="B12" s="488">
        <f>SUM(B2:B11)</f>
        <v>107359.12</v>
      </c>
      <c r="C12"/>
      <c r="D12"/>
      <c r="E12" s="488">
        <f>SUM(E2:E11)</f>
        <v>85112.92</v>
      </c>
    </row>
    <row r="13" spans="1:5" x14ac:dyDescent="0.35">
      <c r="A13"/>
      <c r="B13"/>
      <c r="C13"/>
      <c r="D13"/>
      <c r="E13"/>
    </row>
    <row r="14" spans="1:5" x14ac:dyDescent="0.35">
      <c r="A14" s="761" t="s">
        <v>403</v>
      </c>
      <c r="B14" s="761"/>
      <c r="C14">
        <v>3</v>
      </c>
      <c r="D14"/>
      <c r="E14"/>
    </row>
    <row r="15" spans="1:5" x14ac:dyDescent="0.35">
      <c r="A15" t="s">
        <v>351</v>
      </c>
      <c r="B15" s="487">
        <v>47840</v>
      </c>
      <c r="C15"/>
      <c r="D15"/>
      <c r="E15"/>
    </row>
    <row r="16" spans="1:5" x14ac:dyDescent="0.35">
      <c r="A16" t="s">
        <v>350</v>
      </c>
      <c r="B16" s="487">
        <f>B15*11.94%</f>
        <v>5712.0959999999995</v>
      </c>
      <c r="C16"/>
      <c r="D16" s="489" t="s">
        <v>404</v>
      </c>
      <c r="E16" s="490">
        <f>B12+B25+B38+E12+B25+B25</f>
        <v>514929.016</v>
      </c>
    </row>
    <row r="17" spans="1:5" x14ac:dyDescent="0.35">
      <c r="A17" t="s">
        <v>349</v>
      </c>
      <c r="B17" s="487">
        <f>B15*6.2%</f>
        <v>2966.08</v>
      </c>
      <c r="C17"/>
      <c r="D17"/>
      <c r="E17"/>
    </row>
    <row r="18" spans="1:5" x14ac:dyDescent="0.35">
      <c r="A18" t="s">
        <v>348</v>
      </c>
      <c r="B18" s="487">
        <f>B15*1.45%</f>
        <v>693.68</v>
      </c>
      <c r="C18"/>
      <c r="D18"/>
      <c r="E18"/>
    </row>
    <row r="19" spans="1:5" x14ac:dyDescent="0.35">
      <c r="A19" t="s">
        <v>347</v>
      </c>
      <c r="B19" s="487">
        <v>18077.759999999998</v>
      </c>
      <c r="C19"/>
      <c r="D19"/>
      <c r="E19"/>
    </row>
    <row r="20" spans="1:5" x14ac:dyDescent="0.35">
      <c r="A20" t="s">
        <v>401</v>
      </c>
      <c r="B20" s="487">
        <v>60</v>
      </c>
      <c r="C20"/>
      <c r="D20"/>
      <c r="E20"/>
    </row>
    <row r="21" spans="1:5" x14ac:dyDescent="0.35">
      <c r="A21" t="s">
        <v>354</v>
      </c>
      <c r="B21" s="487">
        <v>2000</v>
      </c>
      <c r="C21"/>
      <c r="D21"/>
      <c r="E21"/>
    </row>
    <row r="22" spans="1:5" x14ac:dyDescent="0.35">
      <c r="A22" t="s">
        <v>353</v>
      </c>
      <c r="B22" s="487">
        <v>408.36</v>
      </c>
      <c r="C22"/>
      <c r="D22"/>
      <c r="E22"/>
    </row>
    <row r="23" spans="1:5" x14ac:dyDescent="0.35">
      <c r="A23" t="s">
        <v>352</v>
      </c>
      <c r="B23" s="487">
        <f>B15*4%</f>
        <v>1913.6000000000001</v>
      </c>
      <c r="C23"/>
      <c r="D23"/>
      <c r="E23"/>
    </row>
    <row r="24" spans="1:5" x14ac:dyDescent="0.35">
      <c r="A24" t="s">
        <v>402</v>
      </c>
      <c r="B24" s="487">
        <v>300</v>
      </c>
      <c r="C24"/>
      <c r="D24"/>
      <c r="E24"/>
    </row>
    <row r="25" spans="1:5" x14ac:dyDescent="0.35">
      <c r="A25"/>
      <c r="B25" s="490">
        <f>SUM(B15:B24)</f>
        <v>79971.576000000001</v>
      </c>
      <c r="C25"/>
      <c r="D25"/>
      <c r="E25"/>
    </row>
    <row r="26" spans="1:5" x14ac:dyDescent="0.35">
      <c r="A26"/>
      <c r="B26" s="487"/>
      <c r="C26"/>
      <c r="D26"/>
      <c r="E26"/>
    </row>
    <row r="27" spans="1:5" x14ac:dyDescent="0.35">
      <c r="A27" s="761" t="s">
        <v>405</v>
      </c>
      <c r="B27" s="761"/>
      <c r="C27">
        <v>1</v>
      </c>
      <c r="D27"/>
      <c r="E27"/>
    </row>
    <row r="28" spans="1:5" x14ac:dyDescent="0.35">
      <c r="A28" t="s">
        <v>351</v>
      </c>
      <c r="B28" s="487">
        <v>49920</v>
      </c>
      <c r="C28"/>
      <c r="D28"/>
      <c r="E28"/>
    </row>
    <row r="29" spans="1:5" x14ac:dyDescent="0.35">
      <c r="A29" t="s">
        <v>350</v>
      </c>
      <c r="B29" s="487">
        <f>B28*11.94%</f>
        <v>5960.4479999999994</v>
      </c>
      <c r="C29"/>
      <c r="D29"/>
      <c r="E29"/>
    </row>
    <row r="30" spans="1:5" x14ac:dyDescent="0.35">
      <c r="A30" t="s">
        <v>349</v>
      </c>
      <c r="B30" s="487">
        <f>B28*6.2%</f>
        <v>3095.04</v>
      </c>
      <c r="C30"/>
      <c r="D30"/>
      <c r="E30"/>
    </row>
    <row r="31" spans="1:5" x14ac:dyDescent="0.35">
      <c r="A31" t="s">
        <v>348</v>
      </c>
      <c r="B31" s="487">
        <f>B28*1.45%</f>
        <v>723.83999999999992</v>
      </c>
      <c r="C31"/>
      <c r="D31"/>
      <c r="E31"/>
    </row>
    <row r="32" spans="1:5" x14ac:dyDescent="0.35">
      <c r="A32" t="s">
        <v>347</v>
      </c>
      <c r="B32" s="487">
        <v>18077.759999999998</v>
      </c>
      <c r="C32"/>
      <c r="D32"/>
      <c r="E32"/>
    </row>
    <row r="33" spans="1:5" x14ac:dyDescent="0.35">
      <c r="A33" t="s">
        <v>401</v>
      </c>
      <c r="B33" s="487">
        <v>60</v>
      </c>
      <c r="C33"/>
      <c r="D33"/>
      <c r="E33"/>
    </row>
    <row r="34" spans="1:5" x14ac:dyDescent="0.35">
      <c r="A34" t="s">
        <v>354</v>
      </c>
      <c r="B34" s="487">
        <v>2000</v>
      </c>
      <c r="C34"/>
      <c r="D34"/>
      <c r="E34"/>
    </row>
    <row r="35" spans="1:5" x14ac:dyDescent="0.35">
      <c r="A35" t="s">
        <v>353</v>
      </c>
      <c r="B35" s="487">
        <v>408.36</v>
      </c>
      <c r="C35"/>
      <c r="D35"/>
      <c r="E35"/>
    </row>
    <row r="36" spans="1:5" x14ac:dyDescent="0.35">
      <c r="A36" t="s">
        <v>352</v>
      </c>
      <c r="B36" s="487">
        <f>B28*4%</f>
        <v>1996.8</v>
      </c>
      <c r="C36"/>
      <c r="D36"/>
      <c r="E36"/>
    </row>
    <row r="37" spans="1:5" x14ac:dyDescent="0.35">
      <c r="A37" t="s">
        <v>402</v>
      </c>
      <c r="B37" s="487">
        <v>300</v>
      </c>
      <c r="C37"/>
      <c r="D37"/>
      <c r="E37"/>
    </row>
    <row r="38" spans="1:5" x14ac:dyDescent="0.35">
      <c r="A38"/>
      <c r="B38" s="490">
        <f>SUM(B28:B37)</f>
        <v>82542.247999999992</v>
      </c>
      <c r="C38"/>
      <c r="D38"/>
      <c r="E38"/>
    </row>
  </sheetData>
  <sheetProtection algorithmName="SHA-512" hashValue="+hPxbAeUpdt7Rnwlkk0T2D7puesfI40S1IBJmo6eJd3tyay+Z6kal04BsZLuNEzRZF1Ye232HkJrdx4uJOX48w==" saltValue="PbtYcret3A51gLP6fPARIw==" spinCount="100000" sheet="1" objects="1" scenarios="1"/>
  <mergeCells count="4">
    <mergeCell ref="A1:B1"/>
    <mergeCell ref="D1:E1"/>
    <mergeCell ref="A14:B14"/>
    <mergeCell ref="A27:B2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44FF-69F0-4339-8326-97F0D0878C16}">
  <sheetPr codeName="Sheet27">
    <tabColor theme="0" tint="-0.34998626667073579"/>
  </sheetPr>
  <dimension ref="A1:E13"/>
  <sheetViews>
    <sheetView workbookViewId="0">
      <selection activeCell="B6" sqref="B6"/>
    </sheetView>
  </sheetViews>
  <sheetFormatPr defaultColWidth="9.1796875" defaultRowHeight="14.5" x14ac:dyDescent="0.35"/>
  <cols>
    <col min="1" max="1" width="15.81640625" style="395" bestFit="1" customWidth="1"/>
    <col min="2" max="2" width="10.81640625" style="395" bestFit="1" customWidth="1"/>
    <col min="3" max="3" width="9.1796875" style="395"/>
    <col min="4" max="4" width="15.81640625" style="395" bestFit="1" customWidth="1"/>
    <col min="5" max="5" width="11.81640625" style="395" bestFit="1" customWidth="1"/>
    <col min="6" max="16384" width="9.1796875" style="395"/>
  </cols>
  <sheetData>
    <row r="1" spans="1:5" x14ac:dyDescent="0.35">
      <c r="A1" s="761" t="s">
        <v>403</v>
      </c>
      <c r="B1" s="761"/>
      <c r="C1">
        <v>4</v>
      </c>
      <c r="D1" t="s">
        <v>453</v>
      </c>
      <c r="E1"/>
    </row>
    <row r="2" spans="1:5" x14ac:dyDescent="0.35">
      <c r="A2" t="s">
        <v>351</v>
      </c>
      <c r="B2" s="487">
        <v>47840</v>
      </c>
      <c r="C2"/>
      <c r="D2"/>
      <c r="E2"/>
    </row>
    <row r="3" spans="1:5" x14ac:dyDescent="0.35">
      <c r="A3" t="s">
        <v>350</v>
      </c>
      <c r="B3" s="487">
        <f>B2*11.94%</f>
        <v>5712.0959999999995</v>
      </c>
      <c r="C3"/>
      <c r="D3" s="489" t="s">
        <v>404</v>
      </c>
      <c r="E3" s="490">
        <f>B12*C1</f>
        <v>318686.304</v>
      </c>
    </row>
    <row r="4" spans="1:5" x14ac:dyDescent="0.35">
      <c r="A4" t="s">
        <v>349</v>
      </c>
      <c r="B4" s="487">
        <f>B2*6.2%</f>
        <v>2966.08</v>
      </c>
      <c r="C4"/>
      <c r="D4"/>
      <c r="E4"/>
    </row>
    <row r="5" spans="1:5" x14ac:dyDescent="0.35">
      <c r="A5" t="s">
        <v>348</v>
      </c>
      <c r="B5" s="487">
        <f>B2*1.45%</f>
        <v>693.68</v>
      </c>
      <c r="C5"/>
      <c r="D5"/>
      <c r="E5"/>
    </row>
    <row r="6" spans="1:5" x14ac:dyDescent="0.35">
      <c r="A6" t="s">
        <v>347</v>
      </c>
      <c r="B6" s="487">
        <v>18077.759999999998</v>
      </c>
      <c r="C6"/>
      <c r="D6"/>
      <c r="E6"/>
    </row>
    <row r="7" spans="1:5" x14ac:dyDescent="0.35">
      <c r="A7" t="s">
        <v>401</v>
      </c>
      <c r="B7" s="487">
        <v>60</v>
      </c>
      <c r="C7"/>
      <c r="D7"/>
      <c r="E7"/>
    </row>
    <row r="8" spans="1:5" x14ac:dyDescent="0.35">
      <c r="A8" t="s">
        <v>354</v>
      </c>
      <c r="B8" s="487">
        <v>2000</v>
      </c>
      <c r="C8"/>
      <c r="D8"/>
      <c r="E8"/>
    </row>
    <row r="9" spans="1:5" x14ac:dyDescent="0.35">
      <c r="A9" t="s">
        <v>353</v>
      </c>
      <c r="B9" s="487">
        <v>408.36</v>
      </c>
      <c r="C9"/>
      <c r="D9"/>
      <c r="E9"/>
    </row>
    <row r="10" spans="1:5" x14ac:dyDescent="0.35">
      <c r="A10" t="s">
        <v>352</v>
      </c>
      <c r="B10" s="487">
        <f>B2*4%</f>
        <v>1913.6000000000001</v>
      </c>
      <c r="C10"/>
      <c r="D10"/>
      <c r="E10"/>
    </row>
    <row r="11" spans="1:5" x14ac:dyDescent="0.35">
      <c r="A11" t="s">
        <v>402</v>
      </c>
      <c r="B11" s="487">
        <v>0</v>
      </c>
      <c r="C11"/>
      <c r="D11"/>
      <c r="E11"/>
    </row>
    <row r="12" spans="1:5" x14ac:dyDescent="0.35">
      <c r="A12"/>
      <c r="B12" s="490">
        <f>SUM(B2:B11)</f>
        <v>79671.576000000001</v>
      </c>
      <c r="C12"/>
      <c r="D12"/>
      <c r="E12"/>
    </row>
    <row r="13" spans="1:5" x14ac:dyDescent="0.35">
      <c r="A13"/>
      <c r="B13" s="487"/>
      <c r="C13"/>
      <c r="D13"/>
      <c r="E13"/>
    </row>
  </sheetData>
  <sheetProtection algorithmName="SHA-512" hashValue="PYcMCrSwaCJN1LTj8q/6MUgksu+qV7veDbICnScXKLpy/E7iLeo789g8LItW6EAFh9l7j0TR0AJkwOTh+rGudg==" saltValue="FdEj5iv70CRx7ykEZLB57g==" spinCount="100000" sheet="1" objects="1" scenarios="1"/>
  <mergeCells count="1">
    <mergeCell ref="A1:B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DB476-15BD-45C3-9C3C-0E835CE1D9A8}">
  <sheetPr codeName="Sheet28">
    <tabColor theme="0" tint="-0.34998626667073579"/>
  </sheetPr>
  <dimension ref="A1:G37"/>
  <sheetViews>
    <sheetView workbookViewId="0">
      <selection activeCell="F4" sqref="F4"/>
    </sheetView>
  </sheetViews>
  <sheetFormatPr defaultRowHeight="12.5" x14ac:dyDescent="0.25"/>
  <cols>
    <col min="2" max="4" width="12.54296875" customWidth="1"/>
    <col min="5" max="5" width="14.453125" customWidth="1"/>
    <col min="6" max="6" width="12.54296875" customWidth="1"/>
    <col min="7" max="7" width="15.453125" customWidth="1"/>
  </cols>
  <sheetData>
    <row r="1" spans="1:7" x14ac:dyDescent="0.25">
      <c r="B1" t="s">
        <v>406</v>
      </c>
    </row>
    <row r="2" spans="1:7" x14ac:dyDescent="0.25">
      <c r="B2" t="s">
        <v>407</v>
      </c>
    </row>
    <row r="3" spans="1:7" s="491" customFormat="1" ht="25" x14ac:dyDescent="0.25">
      <c r="B3" s="491" t="s">
        <v>50</v>
      </c>
      <c r="C3" s="491" t="s">
        <v>408</v>
      </c>
      <c r="D3" s="491" t="s">
        <v>409</v>
      </c>
      <c r="E3" s="491" t="s">
        <v>410</v>
      </c>
      <c r="F3" s="491" t="s">
        <v>54</v>
      </c>
      <c r="G3" s="491" t="s">
        <v>411</v>
      </c>
    </row>
    <row r="4" spans="1:7" x14ac:dyDescent="0.25">
      <c r="A4" t="s">
        <v>412</v>
      </c>
      <c r="B4">
        <v>40</v>
      </c>
      <c r="C4">
        <v>40</v>
      </c>
      <c r="D4">
        <v>118</v>
      </c>
      <c r="E4">
        <v>86</v>
      </c>
      <c r="F4">
        <v>76</v>
      </c>
      <c r="G4">
        <v>170</v>
      </c>
    </row>
    <row r="8" spans="1:7" x14ac:dyDescent="0.25">
      <c r="B8" t="s">
        <v>413</v>
      </c>
    </row>
    <row r="9" spans="1:7" x14ac:dyDescent="0.25">
      <c r="B9" t="s">
        <v>414</v>
      </c>
    </row>
    <row r="10" spans="1:7" x14ac:dyDescent="0.25">
      <c r="B10" t="s">
        <v>415</v>
      </c>
    </row>
    <row r="11" spans="1:7" x14ac:dyDescent="0.25">
      <c r="B11" t="s">
        <v>416</v>
      </c>
    </row>
    <row r="12" spans="1:7" x14ac:dyDescent="0.25">
      <c r="B12" t="s">
        <v>417</v>
      </c>
    </row>
    <row r="14" spans="1:7" x14ac:dyDescent="0.25">
      <c r="B14" s="437" t="s">
        <v>422</v>
      </c>
    </row>
    <row r="37" spans="2:2" x14ac:dyDescent="0.25">
      <c r="B37" s="437" t="s">
        <v>424</v>
      </c>
    </row>
  </sheetData>
  <sheetProtection algorithmName="SHA-512" hashValue="FfjIQBUMzNIgo9wmkUab3QetGK3aCBFdr39nrnx0l0tw8NaI6tRG6LU2sNQz7ru2nGc8bWmNBYnOY9ZZ+TxXaA==" saltValue="oGcoLmb8oaiBo6ev4zcB5w==" spinCount="100000" sheet="1" objects="1" scenarios="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32EB6-DACE-4B4F-8CCF-073DFF394FDB}">
  <sheetPr codeName="Sheet29"/>
  <dimension ref="B1:O10"/>
  <sheetViews>
    <sheetView workbookViewId="0">
      <selection activeCell="I7" sqref="I7"/>
    </sheetView>
  </sheetViews>
  <sheetFormatPr defaultRowHeight="12.5" x14ac:dyDescent="0.25"/>
  <cols>
    <col min="2" max="2" width="9.1796875" style="1"/>
    <col min="3" max="3" width="14" style="1" bestFit="1" customWidth="1"/>
    <col min="4" max="4" width="11.26953125" style="1" bestFit="1" customWidth="1"/>
    <col min="5" max="7" width="11.26953125" style="1" customWidth="1"/>
    <col min="10" max="10" width="37.453125" bestFit="1" customWidth="1"/>
    <col min="13" max="13" width="15.54296875" bestFit="1" customWidth="1"/>
    <col min="14" max="14" width="20" bestFit="1" customWidth="1"/>
  </cols>
  <sheetData>
    <row r="1" spans="2:15" x14ac:dyDescent="0.25">
      <c r="H1" s="509" t="s">
        <v>423</v>
      </c>
      <c r="I1" s="509" t="s">
        <v>451</v>
      </c>
    </row>
    <row r="2" spans="2:15" x14ac:dyDescent="0.25">
      <c r="B2" s="1" t="s">
        <v>362</v>
      </c>
      <c r="C2" s="509" t="s">
        <v>476</v>
      </c>
      <c r="D2" s="509" t="s">
        <v>412</v>
      </c>
      <c r="E2" s="509" t="s">
        <v>277</v>
      </c>
      <c r="F2" s="509" t="s">
        <v>423</v>
      </c>
      <c r="G2" s="509" t="s">
        <v>451</v>
      </c>
      <c r="H2" s="509" t="s">
        <v>449</v>
      </c>
      <c r="I2" s="509" t="s">
        <v>449</v>
      </c>
      <c r="L2" s="509" t="s">
        <v>477</v>
      </c>
      <c r="M2" s="509" t="s">
        <v>478</v>
      </c>
      <c r="N2" s="509" t="s">
        <v>479</v>
      </c>
    </row>
    <row r="3" spans="2:15" x14ac:dyDescent="0.25">
      <c r="B3" s="1">
        <v>2017</v>
      </c>
      <c r="C3" s="510">
        <v>1556422.68</v>
      </c>
      <c r="D3" s="510">
        <v>62400</v>
      </c>
      <c r="E3" s="510">
        <v>17560.509999999998</v>
      </c>
      <c r="F3" s="510"/>
      <c r="G3" s="510"/>
      <c r="L3" s="511">
        <f>C3/E3</f>
        <v>88.631974811665501</v>
      </c>
      <c r="M3" s="523" t="s">
        <v>63</v>
      </c>
    </row>
    <row r="4" spans="2:15" x14ac:dyDescent="0.25">
      <c r="B4" s="1">
        <v>2018</v>
      </c>
      <c r="C4" s="510">
        <v>1919676.23</v>
      </c>
      <c r="D4" s="510">
        <v>70980</v>
      </c>
      <c r="E4" s="510">
        <v>18714.98</v>
      </c>
      <c r="F4" s="510">
        <v>52586.53</v>
      </c>
      <c r="G4" s="510">
        <v>25254.57</v>
      </c>
      <c r="H4" s="511">
        <f>F4/D4</f>
        <v>0.74086404621020008</v>
      </c>
      <c r="I4" s="511">
        <f>G4/D4</f>
        <v>0.35579839391377854</v>
      </c>
      <c r="L4" s="511">
        <f>C4/E4</f>
        <v>102.5743137315669</v>
      </c>
      <c r="M4" s="511">
        <f>538110.39/E4</f>
        <v>28.752923593826978</v>
      </c>
      <c r="N4" s="511">
        <f>L4-M4</f>
        <v>73.821390137739925</v>
      </c>
    </row>
    <row r="5" spans="2:15" x14ac:dyDescent="0.25">
      <c r="B5" s="1">
        <v>2019</v>
      </c>
      <c r="C5" s="510">
        <v>1930505.77</v>
      </c>
      <c r="D5" s="510">
        <v>79638</v>
      </c>
      <c r="E5" s="510">
        <v>19994.05</v>
      </c>
      <c r="F5" s="510">
        <v>60688.25</v>
      </c>
      <c r="G5" s="510">
        <f>20628.28+10918.67</f>
        <v>31546.949999999997</v>
      </c>
      <c r="H5" s="511">
        <f>F5/D5</f>
        <v>0.76205140761947809</v>
      </c>
      <c r="I5" s="511">
        <f>G5/D5</f>
        <v>0.39612936035560908</v>
      </c>
      <c r="J5" s="437" t="s">
        <v>447</v>
      </c>
      <c r="L5" s="511">
        <f>C5/E5</f>
        <v>96.55401331896239</v>
      </c>
      <c r="M5" s="511">
        <f>682781.3/E5</f>
        <v>34.149224394257296</v>
      </c>
      <c r="N5" s="511">
        <f>L5-M5</f>
        <v>62.404788924705095</v>
      </c>
    </row>
    <row r="6" spans="2:15" x14ac:dyDescent="0.25">
      <c r="B6" s="1">
        <v>2020</v>
      </c>
      <c r="C6" s="510">
        <v>2156354.9500000002</v>
      </c>
      <c r="D6" s="510">
        <v>106782</v>
      </c>
      <c r="E6" s="510">
        <v>26475.22</v>
      </c>
      <c r="F6" s="510">
        <v>52661.61</v>
      </c>
      <c r="G6" s="510">
        <f>1508.6+38346.62</f>
        <v>39855.22</v>
      </c>
      <c r="H6" s="511">
        <f>F6/D6</f>
        <v>0.49316935438557058</v>
      </c>
      <c r="I6" s="511">
        <f>G6/D6</f>
        <v>0.37323912269858217</v>
      </c>
      <c r="J6" s="437" t="s">
        <v>448</v>
      </c>
      <c r="L6" s="511">
        <f>C6/E6</f>
        <v>81.448046512927945</v>
      </c>
      <c r="M6" s="511">
        <f>871558.48/E6</f>
        <v>32.919782347417694</v>
      </c>
      <c r="N6" s="511">
        <f>L6-M6</f>
        <v>48.528264165510251</v>
      </c>
    </row>
    <row r="7" spans="2:15" x14ac:dyDescent="0.25">
      <c r="B7" s="1">
        <v>2021</v>
      </c>
      <c r="C7" s="510">
        <v>2585448.85</v>
      </c>
      <c r="D7" s="510">
        <v>113334</v>
      </c>
      <c r="E7" s="510">
        <v>27439.58</v>
      </c>
      <c r="F7" s="510">
        <v>68980.100000000006</v>
      </c>
      <c r="G7" s="510">
        <f>14981.9+32568.38</f>
        <v>47550.28</v>
      </c>
      <c r="H7" s="511">
        <f>F7/D7</f>
        <v>0.6086443609155241</v>
      </c>
      <c r="I7" s="511">
        <f>G7/D7</f>
        <v>0.4195588261245522</v>
      </c>
      <c r="L7" s="511">
        <f>C7/E7</f>
        <v>94.22333905985441</v>
      </c>
      <c r="M7" s="511">
        <f>1104295.92/E7</f>
        <v>40.244636397495874</v>
      </c>
      <c r="N7" s="511">
        <f>L7-M7</f>
        <v>53.978702662358536</v>
      </c>
    </row>
    <row r="8" spans="2:15" ht="13" x14ac:dyDescent="0.3">
      <c r="G8" s="438" t="s">
        <v>452</v>
      </c>
      <c r="H8" s="512">
        <f>AVERAGE(H4:H7)</f>
        <v>0.6511822922826932</v>
      </c>
      <c r="I8" s="512">
        <f>AVERAGE(I4:I7)</f>
        <v>0.38618142577313053</v>
      </c>
      <c r="K8" s="513"/>
    </row>
    <row r="9" spans="2:15" x14ac:dyDescent="0.25">
      <c r="M9" t="s">
        <v>480</v>
      </c>
      <c r="N9" s="511">
        <v>9.93</v>
      </c>
      <c r="O9" s="511"/>
    </row>
    <row r="10" spans="2:15" x14ac:dyDescent="0.25">
      <c r="B10" s="47" t="s">
        <v>450</v>
      </c>
      <c r="C10" s="47"/>
    </row>
  </sheetData>
  <sheetProtection algorithmName="SHA-512" hashValue="mpDjgMxJyIdG/SjOqo5suk54aOqK7jHsw5RugEn9hKP7wbO/UB2HUblKevBkq83XwJDTOqmE21g1IU808abOsA==" saltValue="GD8JbydzLbeSyZOW04l7Ng==" spinCount="100000" sheet="1" objects="1" scenarios="1"/>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759A-CBB0-49BC-AFCF-9B4749886894}">
  <sheetPr codeName="Sheet30"/>
  <dimension ref="B2:H23"/>
  <sheetViews>
    <sheetView workbookViewId="0">
      <selection activeCell="I31" sqref="I31"/>
    </sheetView>
  </sheetViews>
  <sheetFormatPr defaultColWidth="9.1796875" defaultRowHeight="14.5" x14ac:dyDescent="0.35"/>
  <cols>
    <col min="1" max="1" width="9.1796875" style="494"/>
    <col min="2" max="2" width="18.1796875" style="494" customWidth="1"/>
    <col min="3" max="3" width="11.1796875" style="494" bestFit="1" customWidth="1"/>
    <col min="4" max="4" width="11.54296875" style="494" bestFit="1" customWidth="1"/>
    <col min="5" max="5" width="24.453125" style="494" bestFit="1" customWidth="1"/>
    <col min="6" max="6" width="12.7265625" style="494" bestFit="1" customWidth="1"/>
    <col min="7" max="7" width="16" style="494" bestFit="1" customWidth="1"/>
    <col min="8" max="8" width="11.81640625" style="494" bestFit="1" customWidth="1"/>
    <col min="9" max="16384" width="9.1796875" style="494"/>
  </cols>
  <sheetData>
    <row r="2" spans="2:8" x14ac:dyDescent="0.35">
      <c r="B2" s="492"/>
      <c r="C2" s="493" t="s">
        <v>427</v>
      </c>
      <c r="D2" s="493" t="s">
        <v>428</v>
      </c>
      <c r="E2" s="493" t="s">
        <v>429</v>
      </c>
      <c r="F2" s="493" t="s">
        <v>430</v>
      </c>
      <c r="G2" s="493" t="s">
        <v>431</v>
      </c>
      <c r="H2" s="493" t="s">
        <v>397</v>
      </c>
    </row>
    <row r="3" spans="2:8" x14ac:dyDescent="0.35">
      <c r="B3" s="493" t="s">
        <v>54</v>
      </c>
      <c r="C3" s="495">
        <v>3</v>
      </c>
      <c r="D3" s="495"/>
      <c r="E3" s="495">
        <v>3</v>
      </c>
      <c r="F3" s="495"/>
      <c r="G3" s="495"/>
      <c r="H3" s="495">
        <v>0</v>
      </c>
    </row>
    <row r="4" spans="2:8" x14ac:dyDescent="0.35">
      <c r="B4" s="493" t="s">
        <v>51</v>
      </c>
      <c r="C4" s="495">
        <v>2</v>
      </c>
      <c r="D4" s="495"/>
      <c r="E4" s="495">
        <v>1</v>
      </c>
      <c r="F4" s="495">
        <v>4</v>
      </c>
      <c r="G4" s="495"/>
      <c r="H4" s="495">
        <v>0</v>
      </c>
    </row>
    <row r="5" spans="2:8" x14ac:dyDescent="0.35">
      <c r="B5" s="493" t="s">
        <v>50</v>
      </c>
      <c r="C5" s="495">
        <v>1</v>
      </c>
      <c r="D5" s="495">
        <v>3</v>
      </c>
      <c r="E5" s="495">
        <v>3</v>
      </c>
      <c r="F5" s="495">
        <v>1</v>
      </c>
      <c r="G5" s="495"/>
      <c r="H5" s="495">
        <v>0</v>
      </c>
    </row>
    <row r="6" spans="2:8" x14ac:dyDescent="0.35">
      <c r="B6" s="493" t="s">
        <v>52</v>
      </c>
      <c r="C6" s="495">
        <v>1</v>
      </c>
      <c r="D6" s="495"/>
      <c r="E6" s="495">
        <v>0</v>
      </c>
      <c r="F6" s="495"/>
      <c r="G6" s="495">
        <v>1</v>
      </c>
      <c r="H6" s="495">
        <v>1</v>
      </c>
    </row>
    <row r="7" spans="2:8" x14ac:dyDescent="0.35">
      <c r="B7" s="496" t="s">
        <v>432</v>
      </c>
      <c r="C7" s="497">
        <f t="shared" ref="C7:H7" si="0">SUM(C3:C6)</f>
        <v>7</v>
      </c>
      <c r="D7" s="497">
        <f t="shared" si="0"/>
        <v>3</v>
      </c>
      <c r="E7" s="497">
        <f t="shared" si="0"/>
        <v>7</v>
      </c>
      <c r="F7" s="497">
        <f t="shared" si="0"/>
        <v>5</v>
      </c>
      <c r="G7" s="497">
        <f t="shared" si="0"/>
        <v>1</v>
      </c>
      <c r="H7" s="497">
        <f t="shared" si="0"/>
        <v>1</v>
      </c>
    </row>
    <row r="9" spans="2:8" x14ac:dyDescent="0.35">
      <c r="B9" s="763" t="s">
        <v>433</v>
      </c>
      <c r="C9" s="763"/>
      <c r="D9" s="498"/>
      <c r="E9" s="763" t="s">
        <v>434</v>
      </c>
      <c r="F9" s="763"/>
      <c r="G9" s="498"/>
    </row>
    <row r="10" spans="2:8" x14ac:dyDescent="0.35">
      <c r="B10" s="492" t="s">
        <v>355</v>
      </c>
      <c r="C10" s="499">
        <v>167000</v>
      </c>
      <c r="D10" s="500"/>
      <c r="E10" s="501" t="s">
        <v>435</v>
      </c>
      <c r="F10" s="499">
        <v>140000</v>
      </c>
      <c r="G10" s="500"/>
    </row>
    <row r="11" spans="2:8" x14ac:dyDescent="0.35">
      <c r="B11" s="492" t="s">
        <v>425</v>
      </c>
      <c r="C11" s="499">
        <v>115000</v>
      </c>
      <c r="D11" s="500"/>
      <c r="E11" s="501" t="s">
        <v>436</v>
      </c>
      <c r="F11" s="499">
        <v>50000</v>
      </c>
      <c r="G11" s="500"/>
    </row>
    <row r="12" spans="2:8" x14ac:dyDescent="0.35">
      <c r="B12" s="492" t="s">
        <v>431</v>
      </c>
      <c r="C12" s="499">
        <v>4000</v>
      </c>
      <c r="D12" s="500"/>
      <c r="E12" s="501" t="s">
        <v>437</v>
      </c>
      <c r="F12" s="499">
        <v>40000</v>
      </c>
      <c r="G12" s="500"/>
      <c r="H12" s="502"/>
    </row>
    <row r="13" spans="2:8" x14ac:dyDescent="0.35">
      <c r="B13" s="492" t="s">
        <v>397</v>
      </c>
      <c r="C13" s="499">
        <v>300000</v>
      </c>
      <c r="D13" s="500"/>
      <c r="E13" s="501" t="s">
        <v>438</v>
      </c>
      <c r="F13" s="499">
        <f>SUM(51000*4)</f>
        <v>204000</v>
      </c>
      <c r="G13" s="500"/>
    </row>
    <row r="14" spans="2:8" x14ac:dyDescent="0.35">
      <c r="B14" s="492" t="s">
        <v>426</v>
      </c>
      <c r="C14" s="499">
        <v>0</v>
      </c>
      <c r="D14" s="500"/>
      <c r="E14" s="501" t="s">
        <v>439</v>
      </c>
      <c r="F14" s="499">
        <v>85000</v>
      </c>
      <c r="G14" s="500"/>
    </row>
    <row r="15" spans="2:8" x14ac:dyDescent="0.35">
      <c r="C15" s="500"/>
      <c r="E15" s="503" t="s">
        <v>432</v>
      </c>
      <c r="F15" s="504">
        <f>SUM(F10:F14)</f>
        <v>519000</v>
      </c>
      <c r="G15" s="500"/>
    </row>
    <row r="16" spans="2:8" x14ac:dyDescent="0.35">
      <c r="D16" s="498"/>
    </row>
    <row r="17" spans="2:4" x14ac:dyDescent="0.35">
      <c r="B17" s="763" t="s">
        <v>2</v>
      </c>
      <c r="C17" s="763"/>
      <c r="D17" s="500"/>
    </row>
    <row r="18" spans="2:4" x14ac:dyDescent="0.35">
      <c r="B18" s="492" t="s">
        <v>355</v>
      </c>
      <c r="C18" s="499">
        <f>C7*C10+F10+F11+F12</f>
        <v>1399000</v>
      </c>
      <c r="D18" s="500"/>
    </row>
    <row r="19" spans="2:4" x14ac:dyDescent="0.35">
      <c r="B19" s="492" t="s">
        <v>425</v>
      </c>
      <c r="C19" s="499">
        <f>E7*C11+F13+F14</f>
        <v>1094000</v>
      </c>
      <c r="D19" s="500"/>
    </row>
    <row r="20" spans="2:4" x14ac:dyDescent="0.35">
      <c r="B20" s="492" t="s">
        <v>431</v>
      </c>
      <c r="C20" s="499">
        <f>G7*C12</f>
        <v>4000</v>
      </c>
      <c r="D20" s="500"/>
    </row>
    <row r="21" spans="2:4" x14ac:dyDescent="0.35">
      <c r="B21" s="492" t="s">
        <v>397</v>
      </c>
      <c r="C21" s="499">
        <f>H7*C13</f>
        <v>300000</v>
      </c>
      <c r="D21" s="500"/>
    </row>
    <row r="22" spans="2:4" x14ac:dyDescent="0.35">
      <c r="B22" s="492" t="s">
        <v>426</v>
      </c>
      <c r="C22" s="499">
        <v>0</v>
      </c>
      <c r="D22" s="505"/>
    </row>
    <row r="23" spans="2:4" x14ac:dyDescent="0.35">
      <c r="B23" s="506" t="s">
        <v>432</v>
      </c>
      <c r="C23" s="504">
        <f>SUM(C18:C22)</f>
        <v>2797000</v>
      </c>
    </row>
  </sheetData>
  <sheetProtection algorithmName="SHA-512" hashValue="A9prSdZTt9mN3cPCv66ngSoSPzxs2dyFSUjbCGpg0juuEussOlyjnWaDFiQlORehjoxZPUGae3bnJsewR/tXMA==" saltValue="wO6XH1Ytn0yuR0SRDj/BDQ==" spinCount="100000" sheet="1" objects="1" scenarios="1"/>
  <mergeCells count="3">
    <mergeCell ref="B9:C9"/>
    <mergeCell ref="E9:F9"/>
    <mergeCell ref="B17:C1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C3A8-AA61-4F84-A6A2-35DBBD6DB5C7}">
  <sheetPr codeName="Sheet5">
    <tabColor theme="5" tint="0.79998168889431442"/>
    <pageSetUpPr fitToPage="1"/>
  </sheetPr>
  <dimension ref="A2:N68"/>
  <sheetViews>
    <sheetView topLeftCell="A42" workbookViewId="0">
      <selection activeCell="F49" sqref="F49"/>
    </sheetView>
  </sheetViews>
  <sheetFormatPr defaultRowHeight="12.5" x14ac:dyDescent="0.25"/>
  <cols>
    <col min="1" max="1" width="8.7265625" customWidth="1"/>
    <col min="2" max="2" width="11" bestFit="1" customWidth="1"/>
    <col min="3" max="3" width="14.453125" customWidth="1"/>
    <col min="4" max="4" width="10.54296875" customWidth="1"/>
    <col min="5" max="5" width="14.453125" customWidth="1"/>
    <col min="6" max="6" width="18.26953125" customWidth="1"/>
    <col min="7" max="7" width="23.453125" bestFit="1" customWidth="1"/>
    <col min="8" max="8" width="15.54296875" bestFit="1" customWidth="1"/>
    <col min="9" max="9" width="9.7265625" bestFit="1" customWidth="1"/>
    <col min="10" max="10" width="30.453125" bestFit="1" customWidth="1"/>
    <col min="14" max="14" width="10.26953125" customWidth="1"/>
    <col min="257" max="257" width="8.7265625" customWidth="1"/>
    <col min="259" max="259" width="14.453125" customWidth="1"/>
    <col min="260" max="260" width="10.54296875" customWidth="1"/>
    <col min="261" max="261" width="14.453125" customWidth="1"/>
    <col min="262" max="262" width="18.26953125" customWidth="1"/>
    <col min="263" max="263" width="23.453125" bestFit="1" customWidth="1"/>
    <col min="264" max="264" width="15.54296875" bestFit="1" customWidth="1"/>
    <col min="265" max="265" width="9.7265625" bestFit="1" customWidth="1"/>
    <col min="266" max="266" width="30.453125" bestFit="1" customWidth="1"/>
    <col min="270" max="270" width="10.26953125" customWidth="1"/>
    <col min="513" max="513" width="8.7265625" customWidth="1"/>
    <col min="515" max="515" width="14.453125" customWidth="1"/>
    <col min="516" max="516" width="10.54296875" customWidth="1"/>
    <col min="517" max="517" width="14.453125" customWidth="1"/>
    <col min="518" max="518" width="18.26953125" customWidth="1"/>
    <col min="519" max="519" width="23.453125" bestFit="1" customWidth="1"/>
    <col min="520" max="520" width="15.54296875" bestFit="1" customWidth="1"/>
    <col min="521" max="521" width="9.7265625" bestFit="1" customWidth="1"/>
    <col min="522" max="522" width="30.453125" bestFit="1" customWidth="1"/>
    <col min="526" max="526" width="10.26953125" customWidth="1"/>
    <col min="769" max="769" width="8.7265625" customWidth="1"/>
    <col min="771" max="771" width="14.453125" customWidth="1"/>
    <col min="772" max="772" width="10.54296875" customWidth="1"/>
    <col min="773" max="773" width="14.453125" customWidth="1"/>
    <col min="774" max="774" width="18.26953125" customWidth="1"/>
    <col min="775" max="775" width="23.453125" bestFit="1" customWidth="1"/>
    <col min="776" max="776" width="15.54296875" bestFit="1" customWidth="1"/>
    <col min="777" max="777" width="9.7265625" bestFit="1" customWidth="1"/>
    <col min="778" max="778" width="30.453125" bestFit="1" customWidth="1"/>
    <col min="782" max="782" width="10.26953125" customWidth="1"/>
    <col min="1025" max="1025" width="8.7265625" customWidth="1"/>
    <col min="1027" max="1027" width="14.453125" customWidth="1"/>
    <col min="1028" max="1028" width="10.54296875" customWidth="1"/>
    <col min="1029" max="1029" width="14.453125" customWidth="1"/>
    <col min="1030" max="1030" width="18.26953125" customWidth="1"/>
    <col min="1031" max="1031" width="23.453125" bestFit="1" customWidth="1"/>
    <col min="1032" max="1032" width="15.54296875" bestFit="1" customWidth="1"/>
    <col min="1033" max="1033" width="9.7265625" bestFit="1" customWidth="1"/>
    <col min="1034" max="1034" width="30.453125" bestFit="1" customWidth="1"/>
    <col min="1038" max="1038" width="10.26953125" customWidth="1"/>
    <col min="1281" max="1281" width="8.7265625" customWidth="1"/>
    <col min="1283" max="1283" width="14.453125" customWidth="1"/>
    <col min="1284" max="1284" width="10.54296875" customWidth="1"/>
    <col min="1285" max="1285" width="14.453125" customWidth="1"/>
    <col min="1286" max="1286" width="18.26953125" customWidth="1"/>
    <col min="1287" max="1287" width="23.453125" bestFit="1" customWidth="1"/>
    <col min="1288" max="1288" width="15.54296875" bestFit="1" customWidth="1"/>
    <col min="1289" max="1289" width="9.7265625" bestFit="1" customWidth="1"/>
    <col min="1290" max="1290" width="30.453125" bestFit="1" customWidth="1"/>
    <col min="1294" max="1294" width="10.26953125" customWidth="1"/>
    <col min="1537" max="1537" width="8.7265625" customWidth="1"/>
    <col min="1539" max="1539" width="14.453125" customWidth="1"/>
    <col min="1540" max="1540" width="10.54296875" customWidth="1"/>
    <col min="1541" max="1541" width="14.453125" customWidth="1"/>
    <col min="1542" max="1542" width="18.26953125" customWidth="1"/>
    <col min="1543" max="1543" width="23.453125" bestFit="1" customWidth="1"/>
    <col min="1544" max="1544" width="15.54296875" bestFit="1" customWidth="1"/>
    <col min="1545" max="1545" width="9.7265625" bestFit="1" customWidth="1"/>
    <col min="1546" max="1546" width="30.453125" bestFit="1" customWidth="1"/>
    <col min="1550" max="1550" width="10.26953125" customWidth="1"/>
    <col min="1793" max="1793" width="8.7265625" customWidth="1"/>
    <col min="1795" max="1795" width="14.453125" customWidth="1"/>
    <col min="1796" max="1796" width="10.54296875" customWidth="1"/>
    <col min="1797" max="1797" width="14.453125" customWidth="1"/>
    <col min="1798" max="1798" width="18.26953125" customWidth="1"/>
    <col min="1799" max="1799" width="23.453125" bestFit="1" customWidth="1"/>
    <col min="1800" max="1800" width="15.54296875" bestFit="1" customWidth="1"/>
    <col min="1801" max="1801" width="9.7265625" bestFit="1" customWidth="1"/>
    <col min="1802" max="1802" width="30.453125" bestFit="1" customWidth="1"/>
    <col min="1806" max="1806" width="10.26953125" customWidth="1"/>
    <col min="2049" max="2049" width="8.7265625" customWidth="1"/>
    <col min="2051" max="2051" width="14.453125" customWidth="1"/>
    <col min="2052" max="2052" width="10.54296875" customWidth="1"/>
    <col min="2053" max="2053" width="14.453125" customWidth="1"/>
    <col min="2054" max="2054" width="18.26953125" customWidth="1"/>
    <col min="2055" max="2055" width="23.453125" bestFit="1" customWidth="1"/>
    <col min="2056" max="2056" width="15.54296875" bestFit="1" customWidth="1"/>
    <col min="2057" max="2057" width="9.7265625" bestFit="1" customWidth="1"/>
    <col min="2058" max="2058" width="30.453125" bestFit="1" customWidth="1"/>
    <col min="2062" max="2062" width="10.26953125" customWidth="1"/>
    <col min="2305" max="2305" width="8.7265625" customWidth="1"/>
    <col min="2307" max="2307" width="14.453125" customWidth="1"/>
    <col min="2308" max="2308" width="10.54296875" customWidth="1"/>
    <col min="2309" max="2309" width="14.453125" customWidth="1"/>
    <col min="2310" max="2310" width="18.26953125" customWidth="1"/>
    <col min="2311" max="2311" width="23.453125" bestFit="1" customWidth="1"/>
    <col min="2312" max="2312" width="15.54296875" bestFit="1" customWidth="1"/>
    <col min="2313" max="2313" width="9.7265625" bestFit="1" customWidth="1"/>
    <col min="2314" max="2314" width="30.453125" bestFit="1" customWidth="1"/>
    <col min="2318" max="2318" width="10.26953125" customWidth="1"/>
    <col min="2561" max="2561" width="8.7265625" customWidth="1"/>
    <col min="2563" max="2563" width="14.453125" customWidth="1"/>
    <col min="2564" max="2564" width="10.54296875" customWidth="1"/>
    <col min="2565" max="2565" width="14.453125" customWidth="1"/>
    <col min="2566" max="2566" width="18.26953125" customWidth="1"/>
    <col min="2567" max="2567" width="23.453125" bestFit="1" customWidth="1"/>
    <col min="2568" max="2568" width="15.54296875" bestFit="1" customWidth="1"/>
    <col min="2569" max="2569" width="9.7265625" bestFit="1" customWidth="1"/>
    <col min="2570" max="2570" width="30.453125" bestFit="1" customWidth="1"/>
    <col min="2574" max="2574" width="10.26953125" customWidth="1"/>
    <col min="2817" max="2817" width="8.7265625" customWidth="1"/>
    <col min="2819" max="2819" width="14.453125" customWidth="1"/>
    <col min="2820" max="2820" width="10.54296875" customWidth="1"/>
    <col min="2821" max="2821" width="14.453125" customWidth="1"/>
    <col min="2822" max="2822" width="18.26953125" customWidth="1"/>
    <col min="2823" max="2823" width="23.453125" bestFit="1" customWidth="1"/>
    <col min="2824" max="2824" width="15.54296875" bestFit="1" customWidth="1"/>
    <col min="2825" max="2825" width="9.7265625" bestFit="1" customWidth="1"/>
    <col min="2826" max="2826" width="30.453125" bestFit="1" customWidth="1"/>
    <col min="2830" max="2830" width="10.26953125" customWidth="1"/>
    <col min="3073" max="3073" width="8.7265625" customWidth="1"/>
    <col min="3075" max="3075" width="14.453125" customWidth="1"/>
    <col min="3076" max="3076" width="10.54296875" customWidth="1"/>
    <col min="3077" max="3077" width="14.453125" customWidth="1"/>
    <col min="3078" max="3078" width="18.26953125" customWidth="1"/>
    <col min="3079" max="3079" width="23.453125" bestFit="1" customWidth="1"/>
    <col min="3080" max="3080" width="15.54296875" bestFit="1" customWidth="1"/>
    <col min="3081" max="3081" width="9.7265625" bestFit="1" customWidth="1"/>
    <col min="3082" max="3082" width="30.453125" bestFit="1" customWidth="1"/>
    <col min="3086" max="3086" width="10.26953125" customWidth="1"/>
    <col min="3329" max="3329" width="8.7265625" customWidth="1"/>
    <col min="3331" max="3331" width="14.453125" customWidth="1"/>
    <col min="3332" max="3332" width="10.54296875" customWidth="1"/>
    <col min="3333" max="3333" width="14.453125" customWidth="1"/>
    <col min="3334" max="3334" width="18.26953125" customWidth="1"/>
    <col min="3335" max="3335" width="23.453125" bestFit="1" customWidth="1"/>
    <col min="3336" max="3336" width="15.54296875" bestFit="1" customWidth="1"/>
    <col min="3337" max="3337" width="9.7265625" bestFit="1" customWidth="1"/>
    <col min="3338" max="3338" width="30.453125" bestFit="1" customWidth="1"/>
    <col min="3342" max="3342" width="10.26953125" customWidth="1"/>
    <col min="3585" max="3585" width="8.7265625" customWidth="1"/>
    <col min="3587" max="3587" width="14.453125" customWidth="1"/>
    <col min="3588" max="3588" width="10.54296875" customWidth="1"/>
    <col min="3589" max="3589" width="14.453125" customWidth="1"/>
    <col min="3590" max="3590" width="18.26953125" customWidth="1"/>
    <col min="3591" max="3591" width="23.453125" bestFit="1" customWidth="1"/>
    <col min="3592" max="3592" width="15.54296875" bestFit="1" customWidth="1"/>
    <col min="3593" max="3593" width="9.7265625" bestFit="1" customWidth="1"/>
    <col min="3594" max="3594" width="30.453125" bestFit="1" customWidth="1"/>
    <col min="3598" max="3598" width="10.26953125" customWidth="1"/>
    <col min="3841" max="3841" width="8.7265625" customWidth="1"/>
    <col min="3843" max="3843" width="14.453125" customWidth="1"/>
    <col min="3844" max="3844" width="10.54296875" customWidth="1"/>
    <col min="3845" max="3845" width="14.453125" customWidth="1"/>
    <col min="3846" max="3846" width="18.26953125" customWidth="1"/>
    <col min="3847" max="3847" width="23.453125" bestFit="1" customWidth="1"/>
    <col min="3848" max="3848" width="15.54296875" bestFit="1" customWidth="1"/>
    <col min="3849" max="3849" width="9.7265625" bestFit="1" customWidth="1"/>
    <col min="3850" max="3850" width="30.453125" bestFit="1" customWidth="1"/>
    <col min="3854" max="3854" width="10.26953125" customWidth="1"/>
    <col min="4097" max="4097" width="8.7265625" customWidth="1"/>
    <col min="4099" max="4099" width="14.453125" customWidth="1"/>
    <col min="4100" max="4100" width="10.54296875" customWidth="1"/>
    <col min="4101" max="4101" width="14.453125" customWidth="1"/>
    <col min="4102" max="4102" width="18.26953125" customWidth="1"/>
    <col min="4103" max="4103" width="23.453125" bestFit="1" customWidth="1"/>
    <col min="4104" max="4104" width="15.54296875" bestFit="1" customWidth="1"/>
    <col min="4105" max="4105" width="9.7265625" bestFit="1" customWidth="1"/>
    <col min="4106" max="4106" width="30.453125" bestFit="1" customWidth="1"/>
    <col min="4110" max="4110" width="10.26953125" customWidth="1"/>
    <col min="4353" max="4353" width="8.7265625" customWidth="1"/>
    <col min="4355" max="4355" width="14.453125" customWidth="1"/>
    <col min="4356" max="4356" width="10.54296875" customWidth="1"/>
    <col min="4357" max="4357" width="14.453125" customWidth="1"/>
    <col min="4358" max="4358" width="18.26953125" customWidth="1"/>
    <col min="4359" max="4359" width="23.453125" bestFit="1" customWidth="1"/>
    <col min="4360" max="4360" width="15.54296875" bestFit="1" customWidth="1"/>
    <col min="4361" max="4361" width="9.7265625" bestFit="1" customWidth="1"/>
    <col min="4362" max="4362" width="30.453125" bestFit="1" customWidth="1"/>
    <col min="4366" max="4366" width="10.26953125" customWidth="1"/>
    <col min="4609" max="4609" width="8.7265625" customWidth="1"/>
    <col min="4611" max="4611" width="14.453125" customWidth="1"/>
    <col min="4612" max="4612" width="10.54296875" customWidth="1"/>
    <col min="4613" max="4613" width="14.453125" customWidth="1"/>
    <col min="4614" max="4614" width="18.26953125" customWidth="1"/>
    <col min="4615" max="4615" width="23.453125" bestFit="1" customWidth="1"/>
    <col min="4616" max="4616" width="15.54296875" bestFit="1" customWidth="1"/>
    <col min="4617" max="4617" width="9.7265625" bestFit="1" customWidth="1"/>
    <col min="4618" max="4618" width="30.453125" bestFit="1" customWidth="1"/>
    <col min="4622" max="4622" width="10.26953125" customWidth="1"/>
    <col min="4865" max="4865" width="8.7265625" customWidth="1"/>
    <col min="4867" max="4867" width="14.453125" customWidth="1"/>
    <col min="4868" max="4868" width="10.54296875" customWidth="1"/>
    <col min="4869" max="4869" width="14.453125" customWidth="1"/>
    <col min="4870" max="4870" width="18.26953125" customWidth="1"/>
    <col min="4871" max="4871" width="23.453125" bestFit="1" customWidth="1"/>
    <col min="4872" max="4872" width="15.54296875" bestFit="1" customWidth="1"/>
    <col min="4873" max="4873" width="9.7265625" bestFit="1" customWidth="1"/>
    <col min="4874" max="4874" width="30.453125" bestFit="1" customWidth="1"/>
    <col min="4878" max="4878" width="10.26953125" customWidth="1"/>
    <col min="5121" max="5121" width="8.7265625" customWidth="1"/>
    <col min="5123" max="5123" width="14.453125" customWidth="1"/>
    <col min="5124" max="5124" width="10.54296875" customWidth="1"/>
    <col min="5125" max="5125" width="14.453125" customWidth="1"/>
    <col min="5126" max="5126" width="18.26953125" customWidth="1"/>
    <col min="5127" max="5127" width="23.453125" bestFit="1" customWidth="1"/>
    <col min="5128" max="5128" width="15.54296875" bestFit="1" customWidth="1"/>
    <col min="5129" max="5129" width="9.7265625" bestFit="1" customWidth="1"/>
    <col min="5130" max="5130" width="30.453125" bestFit="1" customWidth="1"/>
    <col min="5134" max="5134" width="10.26953125" customWidth="1"/>
    <col min="5377" max="5377" width="8.7265625" customWidth="1"/>
    <col min="5379" max="5379" width="14.453125" customWidth="1"/>
    <col min="5380" max="5380" width="10.54296875" customWidth="1"/>
    <col min="5381" max="5381" width="14.453125" customWidth="1"/>
    <col min="5382" max="5382" width="18.26953125" customWidth="1"/>
    <col min="5383" max="5383" width="23.453125" bestFit="1" customWidth="1"/>
    <col min="5384" max="5384" width="15.54296875" bestFit="1" customWidth="1"/>
    <col min="5385" max="5385" width="9.7265625" bestFit="1" customWidth="1"/>
    <col min="5386" max="5386" width="30.453125" bestFit="1" customWidth="1"/>
    <col min="5390" max="5390" width="10.26953125" customWidth="1"/>
    <col min="5633" max="5633" width="8.7265625" customWidth="1"/>
    <col min="5635" max="5635" width="14.453125" customWidth="1"/>
    <col min="5636" max="5636" width="10.54296875" customWidth="1"/>
    <col min="5637" max="5637" width="14.453125" customWidth="1"/>
    <col min="5638" max="5638" width="18.26953125" customWidth="1"/>
    <col min="5639" max="5639" width="23.453125" bestFit="1" customWidth="1"/>
    <col min="5640" max="5640" width="15.54296875" bestFit="1" customWidth="1"/>
    <col min="5641" max="5641" width="9.7265625" bestFit="1" customWidth="1"/>
    <col min="5642" max="5642" width="30.453125" bestFit="1" customWidth="1"/>
    <col min="5646" max="5646" width="10.26953125" customWidth="1"/>
    <col min="5889" max="5889" width="8.7265625" customWidth="1"/>
    <col min="5891" max="5891" width="14.453125" customWidth="1"/>
    <col min="5892" max="5892" width="10.54296875" customWidth="1"/>
    <col min="5893" max="5893" width="14.453125" customWidth="1"/>
    <col min="5894" max="5894" width="18.26953125" customWidth="1"/>
    <col min="5895" max="5895" width="23.453125" bestFit="1" customWidth="1"/>
    <col min="5896" max="5896" width="15.54296875" bestFit="1" customWidth="1"/>
    <col min="5897" max="5897" width="9.7265625" bestFit="1" customWidth="1"/>
    <col min="5898" max="5898" width="30.453125" bestFit="1" customWidth="1"/>
    <col min="5902" max="5902" width="10.26953125" customWidth="1"/>
    <col min="6145" max="6145" width="8.7265625" customWidth="1"/>
    <col min="6147" max="6147" width="14.453125" customWidth="1"/>
    <col min="6148" max="6148" width="10.54296875" customWidth="1"/>
    <col min="6149" max="6149" width="14.453125" customWidth="1"/>
    <col min="6150" max="6150" width="18.26953125" customWidth="1"/>
    <col min="6151" max="6151" width="23.453125" bestFit="1" customWidth="1"/>
    <col min="6152" max="6152" width="15.54296875" bestFit="1" customWidth="1"/>
    <col min="6153" max="6153" width="9.7265625" bestFit="1" customWidth="1"/>
    <col min="6154" max="6154" width="30.453125" bestFit="1" customWidth="1"/>
    <col min="6158" max="6158" width="10.26953125" customWidth="1"/>
    <col min="6401" max="6401" width="8.7265625" customWidth="1"/>
    <col min="6403" max="6403" width="14.453125" customWidth="1"/>
    <col min="6404" max="6404" width="10.54296875" customWidth="1"/>
    <col min="6405" max="6405" width="14.453125" customWidth="1"/>
    <col min="6406" max="6406" width="18.26953125" customWidth="1"/>
    <col min="6407" max="6407" width="23.453125" bestFit="1" customWidth="1"/>
    <col min="6408" max="6408" width="15.54296875" bestFit="1" customWidth="1"/>
    <col min="6409" max="6409" width="9.7265625" bestFit="1" customWidth="1"/>
    <col min="6410" max="6410" width="30.453125" bestFit="1" customWidth="1"/>
    <col min="6414" max="6414" width="10.26953125" customWidth="1"/>
    <col min="6657" max="6657" width="8.7265625" customWidth="1"/>
    <col min="6659" max="6659" width="14.453125" customWidth="1"/>
    <col min="6660" max="6660" width="10.54296875" customWidth="1"/>
    <col min="6661" max="6661" width="14.453125" customWidth="1"/>
    <col min="6662" max="6662" width="18.26953125" customWidth="1"/>
    <col min="6663" max="6663" width="23.453125" bestFit="1" customWidth="1"/>
    <col min="6664" max="6664" width="15.54296875" bestFit="1" customWidth="1"/>
    <col min="6665" max="6665" width="9.7265625" bestFit="1" customWidth="1"/>
    <col min="6666" max="6666" width="30.453125" bestFit="1" customWidth="1"/>
    <col min="6670" max="6670" width="10.26953125" customWidth="1"/>
    <col min="6913" max="6913" width="8.7265625" customWidth="1"/>
    <col min="6915" max="6915" width="14.453125" customWidth="1"/>
    <col min="6916" max="6916" width="10.54296875" customWidth="1"/>
    <col min="6917" max="6917" width="14.453125" customWidth="1"/>
    <col min="6918" max="6918" width="18.26953125" customWidth="1"/>
    <col min="6919" max="6919" width="23.453125" bestFit="1" customWidth="1"/>
    <col min="6920" max="6920" width="15.54296875" bestFit="1" customWidth="1"/>
    <col min="6921" max="6921" width="9.7265625" bestFit="1" customWidth="1"/>
    <col min="6922" max="6922" width="30.453125" bestFit="1" customWidth="1"/>
    <col min="6926" max="6926" width="10.26953125" customWidth="1"/>
    <col min="7169" max="7169" width="8.7265625" customWidth="1"/>
    <col min="7171" max="7171" width="14.453125" customWidth="1"/>
    <col min="7172" max="7172" width="10.54296875" customWidth="1"/>
    <col min="7173" max="7173" width="14.453125" customWidth="1"/>
    <col min="7174" max="7174" width="18.26953125" customWidth="1"/>
    <col min="7175" max="7175" width="23.453125" bestFit="1" customWidth="1"/>
    <col min="7176" max="7176" width="15.54296875" bestFit="1" customWidth="1"/>
    <col min="7177" max="7177" width="9.7265625" bestFit="1" customWidth="1"/>
    <col min="7178" max="7178" width="30.453125" bestFit="1" customWidth="1"/>
    <col min="7182" max="7182" width="10.26953125" customWidth="1"/>
    <col min="7425" max="7425" width="8.7265625" customWidth="1"/>
    <col min="7427" max="7427" width="14.453125" customWidth="1"/>
    <col min="7428" max="7428" width="10.54296875" customWidth="1"/>
    <col min="7429" max="7429" width="14.453125" customWidth="1"/>
    <col min="7430" max="7430" width="18.26953125" customWidth="1"/>
    <col min="7431" max="7431" width="23.453125" bestFit="1" customWidth="1"/>
    <col min="7432" max="7432" width="15.54296875" bestFit="1" customWidth="1"/>
    <col min="7433" max="7433" width="9.7265625" bestFit="1" customWidth="1"/>
    <col min="7434" max="7434" width="30.453125" bestFit="1" customWidth="1"/>
    <col min="7438" max="7438" width="10.26953125" customWidth="1"/>
    <col min="7681" max="7681" width="8.7265625" customWidth="1"/>
    <col min="7683" max="7683" width="14.453125" customWidth="1"/>
    <col min="7684" max="7684" width="10.54296875" customWidth="1"/>
    <col min="7685" max="7685" width="14.453125" customWidth="1"/>
    <col min="7686" max="7686" width="18.26953125" customWidth="1"/>
    <col min="7687" max="7687" width="23.453125" bestFit="1" customWidth="1"/>
    <col min="7688" max="7688" width="15.54296875" bestFit="1" customWidth="1"/>
    <col min="7689" max="7689" width="9.7265625" bestFit="1" customWidth="1"/>
    <col min="7690" max="7690" width="30.453125" bestFit="1" customWidth="1"/>
    <col min="7694" max="7694" width="10.26953125" customWidth="1"/>
    <col min="7937" max="7937" width="8.7265625" customWidth="1"/>
    <col min="7939" max="7939" width="14.453125" customWidth="1"/>
    <col min="7940" max="7940" width="10.54296875" customWidth="1"/>
    <col min="7941" max="7941" width="14.453125" customWidth="1"/>
    <col min="7942" max="7942" width="18.26953125" customWidth="1"/>
    <col min="7943" max="7943" width="23.453125" bestFit="1" customWidth="1"/>
    <col min="7944" max="7944" width="15.54296875" bestFit="1" customWidth="1"/>
    <col min="7945" max="7945" width="9.7265625" bestFit="1" customWidth="1"/>
    <col min="7946" max="7946" width="30.453125" bestFit="1" customWidth="1"/>
    <col min="7950" max="7950" width="10.26953125" customWidth="1"/>
    <col min="8193" max="8193" width="8.7265625" customWidth="1"/>
    <col min="8195" max="8195" width="14.453125" customWidth="1"/>
    <col min="8196" max="8196" width="10.54296875" customWidth="1"/>
    <col min="8197" max="8197" width="14.453125" customWidth="1"/>
    <col min="8198" max="8198" width="18.26953125" customWidth="1"/>
    <col min="8199" max="8199" width="23.453125" bestFit="1" customWidth="1"/>
    <col min="8200" max="8200" width="15.54296875" bestFit="1" customWidth="1"/>
    <col min="8201" max="8201" width="9.7265625" bestFit="1" customWidth="1"/>
    <col min="8202" max="8202" width="30.453125" bestFit="1" customWidth="1"/>
    <col min="8206" max="8206" width="10.26953125" customWidth="1"/>
    <col min="8449" max="8449" width="8.7265625" customWidth="1"/>
    <col min="8451" max="8451" width="14.453125" customWidth="1"/>
    <col min="8452" max="8452" width="10.54296875" customWidth="1"/>
    <col min="8453" max="8453" width="14.453125" customWidth="1"/>
    <col min="8454" max="8454" width="18.26953125" customWidth="1"/>
    <col min="8455" max="8455" width="23.453125" bestFit="1" customWidth="1"/>
    <col min="8456" max="8456" width="15.54296875" bestFit="1" customWidth="1"/>
    <col min="8457" max="8457" width="9.7265625" bestFit="1" customWidth="1"/>
    <col min="8458" max="8458" width="30.453125" bestFit="1" customWidth="1"/>
    <col min="8462" max="8462" width="10.26953125" customWidth="1"/>
    <col min="8705" max="8705" width="8.7265625" customWidth="1"/>
    <col min="8707" max="8707" width="14.453125" customWidth="1"/>
    <col min="8708" max="8708" width="10.54296875" customWidth="1"/>
    <col min="8709" max="8709" width="14.453125" customWidth="1"/>
    <col min="8710" max="8710" width="18.26953125" customWidth="1"/>
    <col min="8711" max="8711" width="23.453125" bestFit="1" customWidth="1"/>
    <col min="8712" max="8712" width="15.54296875" bestFit="1" customWidth="1"/>
    <col min="8713" max="8713" width="9.7265625" bestFit="1" customWidth="1"/>
    <col min="8714" max="8714" width="30.453125" bestFit="1" customWidth="1"/>
    <col min="8718" max="8718" width="10.26953125" customWidth="1"/>
    <col min="8961" max="8961" width="8.7265625" customWidth="1"/>
    <col min="8963" max="8963" width="14.453125" customWidth="1"/>
    <col min="8964" max="8964" width="10.54296875" customWidth="1"/>
    <col min="8965" max="8965" width="14.453125" customWidth="1"/>
    <col min="8966" max="8966" width="18.26953125" customWidth="1"/>
    <col min="8967" max="8967" width="23.453125" bestFit="1" customWidth="1"/>
    <col min="8968" max="8968" width="15.54296875" bestFit="1" customWidth="1"/>
    <col min="8969" max="8969" width="9.7265625" bestFit="1" customWidth="1"/>
    <col min="8970" max="8970" width="30.453125" bestFit="1" customWidth="1"/>
    <col min="8974" max="8974" width="10.26953125" customWidth="1"/>
    <col min="9217" max="9217" width="8.7265625" customWidth="1"/>
    <col min="9219" max="9219" width="14.453125" customWidth="1"/>
    <col min="9220" max="9220" width="10.54296875" customWidth="1"/>
    <col min="9221" max="9221" width="14.453125" customWidth="1"/>
    <col min="9222" max="9222" width="18.26953125" customWidth="1"/>
    <col min="9223" max="9223" width="23.453125" bestFit="1" customWidth="1"/>
    <col min="9224" max="9224" width="15.54296875" bestFit="1" customWidth="1"/>
    <col min="9225" max="9225" width="9.7265625" bestFit="1" customWidth="1"/>
    <col min="9226" max="9226" width="30.453125" bestFit="1" customWidth="1"/>
    <col min="9230" max="9230" width="10.26953125" customWidth="1"/>
    <col min="9473" max="9473" width="8.7265625" customWidth="1"/>
    <col min="9475" max="9475" width="14.453125" customWidth="1"/>
    <col min="9476" max="9476" width="10.54296875" customWidth="1"/>
    <col min="9477" max="9477" width="14.453125" customWidth="1"/>
    <col min="9478" max="9478" width="18.26953125" customWidth="1"/>
    <col min="9479" max="9479" width="23.453125" bestFit="1" customWidth="1"/>
    <col min="9480" max="9480" width="15.54296875" bestFit="1" customWidth="1"/>
    <col min="9481" max="9481" width="9.7265625" bestFit="1" customWidth="1"/>
    <col min="9482" max="9482" width="30.453125" bestFit="1" customWidth="1"/>
    <col min="9486" max="9486" width="10.26953125" customWidth="1"/>
    <col min="9729" max="9729" width="8.7265625" customWidth="1"/>
    <col min="9731" max="9731" width="14.453125" customWidth="1"/>
    <col min="9732" max="9732" width="10.54296875" customWidth="1"/>
    <col min="9733" max="9733" width="14.453125" customWidth="1"/>
    <col min="9734" max="9734" width="18.26953125" customWidth="1"/>
    <col min="9735" max="9735" width="23.453125" bestFit="1" customWidth="1"/>
    <col min="9736" max="9736" width="15.54296875" bestFit="1" customWidth="1"/>
    <col min="9737" max="9737" width="9.7265625" bestFit="1" customWidth="1"/>
    <col min="9738" max="9738" width="30.453125" bestFit="1" customWidth="1"/>
    <col min="9742" max="9742" width="10.26953125" customWidth="1"/>
    <col min="9985" max="9985" width="8.7265625" customWidth="1"/>
    <col min="9987" max="9987" width="14.453125" customWidth="1"/>
    <col min="9988" max="9988" width="10.54296875" customWidth="1"/>
    <col min="9989" max="9989" width="14.453125" customWidth="1"/>
    <col min="9990" max="9990" width="18.26953125" customWidth="1"/>
    <col min="9991" max="9991" width="23.453125" bestFit="1" customWidth="1"/>
    <col min="9992" max="9992" width="15.54296875" bestFit="1" customWidth="1"/>
    <col min="9993" max="9993" width="9.7265625" bestFit="1" customWidth="1"/>
    <col min="9994" max="9994" width="30.453125" bestFit="1" customWidth="1"/>
    <col min="9998" max="9998" width="10.26953125" customWidth="1"/>
    <col min="10241" max="10241" width="8.7265625" customWidth="1"/>
    <col min="10243" max="10243" width="14.453125" customWidth="1"/>
    <col min="10244" max="10244" width="10.54296875" customWidth="1"/>
    <col min="10245" max="10245" width="14.453125" customWidth="1"/>
    <col min="10246" max="10246" width="18.26953125" customWidth="1"/>
    <col min="10247" max="10247" width="23.453125" bestFit="1" customWidth="1"/>
    <col min="10248" max="10248" width="15.54296875" bestFit="1" customWidth="1"/>
    <col min="10249" max="10249" width="9.7265625" bestFit="1" customWidth="1"/>
    <col min="10250" max="10250" width="30.453125" bestFit="1" customWidth="1"/>
    <col min="10254" max="10254" width="10.26953125" customWidth="1"/>
    <col min="10497" max="10497" width="8.7265625" customWidth="1"/>
    <col min="10499" max="10499" width="14.453125" customWidth="1"/>
    <col min="10500" max="10500" width="10.54296875" customWidth="1"/>
    <col min="10501" max="10501" width="14.453125" customWidth="1"/>
    <col min="10502" max="10502" width="18.26953125" customWidth="1"/>
    <col min="10503" max="10503" width="23.453125" bestFit="1" customWidth="1"/>
    <col min="10504" max="10504" width="15.54296875" bestFit="1" customWidth="1"/>
    <col min="10505" max="10505" width="9.7265625" bestFit="1" customWidth="1"/>
    <col min="10506" max="10506" width="30.453125" bestFit="1" customWidth="1"/>
    <col min="10510" max="10510" width="10.26953125" customWidth="1"/>
    <col min="10753" max="10753" width="8.7265625" customWidth="1"/>
    <col min="10755" max="10755" width="14.453125" customWidth="1"/>
    <col min="10756" max="10756" width="10.54296875" customWidth="1"/>
    <col min="10757" max="10757" width="14.453125" customWidth="1"/>
    <col min="10758" max="10758" width="18.26953125" customWidth="1"/>
    <col min="10759" max="10759" width="23.453125" bestFit="1" customWidth="1"/>
    <col min="10760" max="10760" width="15.54296875" bestFit="1" customWidth="1"/>
    <col min="10761" max="10761" width="9.7265625" bestFit="1" customWidth="1"/>
    <col min="10762" max="10762" width="30.453125" bestFit="1" customWidth="1"/>
    <col min="10766" max="10766" width="10.26953125" customWidth="1"/>
    <col min="11009" max="11009" width="8.7265625" customWidth="1"/>
    <col min="11011" max="11011" width="14.453125" customWidth="1"/>
    <col min="11012" max="11012" width="10.54296875" customWidth="1"/>
    <col min="11013" max="11013" width="14.453125" customWidth="1"/>
    <col min="11014" max="11014" width="18.26953125" customWidth="1"/>
    <col min="11015" max="11015" width="23.453125" bestFit="1" customWidth="1"/>
    <col min="11016" max="11016" width="15.54296875" bestFit="1" customWidth="1"/>
    <col min="11017" max="11017" width="9.7265625" bestFit="1" customWidth="1"/>
    <col min="11018" max="11018" width="30.453125" bestFit="1" customWidth="1"/>
    <col min="11022" max="11022" width="10.26953125" customWidth="1"/>
    <col min="11265" max="11265" width="8.7265625" customWidth="1"/>
    <col min="11267" max="11267" width="14.453125" customWidth="1"/>
    <col min="11268" max="11268" width="10.54296875" customWidth="1"/>
    <col min="11269" max="11269" width="14.453125" customWidth="1"/>
    <col min="11270" max="11270" width="18.26953125" customWidth="1"/>
    <col min="11271" max="11271" width="23.453125" bestFit="1" customWidth="1"/>
    <col min="11272" max="11272" width="15.54296875" bestFit="1" customWidth="1"/>
    <col min="11273" max="11273" width="9.7265625" bestFit="1" customWidth="1"/>
    <col min="11274" max="11274" width="30.453125" bestFit="1" customWidth="1"/>
    <col min="11278" max="11278" width="10.26953125" customWidth="1"/>
    <col min="11521" max="11521" width="8.7265625" customWidth="1"/>
    <col min="11523" max="11523" width="14.453125" customWidth="1"/>
    <col min="11524" max="11524" width="10.54296875" customWidth="1"/>
    <col min="11525" max="11525" width="14.453125" customWidth="1"/>
    <col min="11526" max="11526" width="18.26953125" customWidth="1"/>
    <col min="11527" max="11527" width="23.453125" bestFit="1" customWidth="1"/>
    <col min="11528" max="11528" width="15.54296875" bestFit="1" customWidth="1"/>
    <col min="11529" max="11529" width="9.7265625" bestFit="1" customWidth="1"/>
    <col min="11530" max="11530" width="30.453125" bestFit="1" customWidth="1"/>
    <col min="11534" max="11534" width="10.26953125" customWidth="1"/>
    <col min="11777" max="11777" width="8.7265625" customWidth="1"/>
    <col min="11779" max="11779" width="14.453125" customWidth="1"/>
    <col min="11780" max="11780" width="10.54296875" customWidth="1"/>
    <col min="11781" max="11781" width="14.453125" customWidth="1"/>
    <col min="11782" max="11782" width="18.26953125" customWidth="1"/>
    <col min="11783" max="11783" width="23.453125" bestFit="1" customWidth="1"/>
    <col min="11784" max="11784" width="15.54296875" bestFit="1" customWidth="1"/>
    <col min="11785" max="11785" width="9.7265625" bestFit="1" customWidth="1"/>
    <col min="11786" max="11786" width="30.453125" bestFit="1" customWidth="1"/>
    <col min="11790" max="11790" width="10.26953125" customWidth="1"/>
    <col min="12033" max="12033" width="8.7265625" customWidth="1"/>
    <col min="12035" max="12035" width="14.453125" customWidth="1"/>
    <col min="12036" max="12036" width="10.54296875" customWidth="1"/>
    <col min="12037" max="12037" width="14.453125" customWidth="1"/>
    <col min="12038" max="12038" width="18.26953125" customWidth="1"/>
    <col min="12039" max="12039" width="23.453125" bestFit="1" customWidth="1"/>
    <col min="12040" max="12040" width="15.54296875" bestFit="1" customWidth="1"/>
    <col min="12041" max="12041" width="9.7265625" bestFit="1" customWidth="1"/>
    <col min="12042" max="12042" width="30.453125" bestFit="1" customWidth="1"/>
    <col min="12046" max="12046" width="10.26953125" customWidth="1"/>
    <col min="12289" max="12289" width="8.7265625" customWidth="1"/>
    <col min="12291" max="12291" width="14.453125" customWidth="1"/>
    <col min="12292" max="12292" width="10.54296875" customWidth="1"/>
    <col min="12293" max="12293" width="14.453125" customWidth="1"/>
    <col min="12294" max="12294" width="18.26953125" customWidth="1"/>
    <col min="12295" max="12295" width="23.453125" bestFit="1" customWidth="1"/>
    <col min="12296" max="12296" width="15.54296875" bestFit="1" customWidth="1"/>
    <col min="12297" max="12297" width="9.7265625" bestFit="1" customWidth="1"/>
    <col min="12298" max="12298" width="30.453125" bestFit="1" customWidth="1"/>
    <col min="12302" max="12302" width="10.26953125" customWidth="1"/>
    <col min="12545" max="12545" width="8.7265625" customWidth="1"/>
    <col min="12547" max="12547" width="14.453125" customWidth="1"/>
    <col min="12548" max="12548" width="10.54296875" customWidth="1"/>
    <col min="12549" max="12549" width="14.453125" customWidth="1"/>
    <col min="12550" max="12550" width="18.26953125" customWidth="1"/>
    <col min="12551" max="12551" width="23.453125" bestFit="1" customWidth="1"/>
    <col min="12552" max="12552" width="15.54296875" bestFit="1" customWidth="1"/>
    <col min="12553" max="12553" width="9.7265625" bestFit="1" customWidth="1"/>
    <col min="12554" max="12554" width="30.453125" bestFit="1" customWidth="1"/>
    <col min="12558" max="12558" width="10.26953125" customWidth="1"/>
    <col min="12801" max="12801" width="8.7265625" customWidth="1"/>
    <col min="12803" max="12803" width="14.453125" customWidth="1"/>
    <col min="12804" max="12804" width="10.54296875" customWidth="1"/>
    <col min="12805" max="12805" width="14.453125" customWidth="1"/>
    <col min="12806" max="12806" width="18.26953125" customWidth="1"/>
    <col min="12807" max="12807" width="23.453125" bestFit="1" customWidth="1"/>
    <col min="12808" max="12808" width="15.54296875" bestFit="1" customWidth="1"/>
    <col min="12809" max="12809" width="9.7265625" bestFit="1" customWidth="1"/>
    <col min="12810" max="12810" width="30.453125" bestFit="1" customWidth="1"/>
    <col min="12814" max="12814" width="10.26953125" customWidth="1"/>
    <col min="13057" max="13057" width="8.7265625" customWidth="1"/>
    <col min="13059" max="13059" width="14.453125" customWidth="1"/>
    <col min="13060" max="13060" width="10.54296875" customWidth="1"/>
    <col min="13061" max="13061" width="14.453125" customWidth="1"/>
    <col min="13062" max="13062" width="18.26953125" customWidth="1"/>
    <col min="13063" max="13063" width="23.453125" bestFit="1" customWidth="1"/>
    <col min="13064" max="13064" width="15.54296875" bestFit="1" customWidth="1"/>
    <col min="13065" max="13065" width="9.7265625" bestFit="1" customWidth="1"/>
    <col min="13066" max="13066" width="30.453125" bestFit="1" customWidth="1"/>
    <col min="13070" max="13070" width="10.26953125" customWidth="1"/>
    <col min="13313" max="13313" width="8.7265625" customWidth="1"/>
    <col min="13315" max="13315" width="14.453125" customWidth="1"/>
    <col min="13316" max="13316" width="10.54296875" customWidth="1"/>
    <col min="13317" max="13317" width="14.453125" customWidth="1"/>
    <col min="13318" max="13318" width="18.26953125" customWidth="1"/>
    <col min="13319" max="13319" width="23.453125" bestFit="1" customWidth="1"/>
    <col min="13320" max="13320" width="15.54296875" bestFit="1" customWidth="1"/>
    <col min="13321" max="13321" width="9.7265625" bestFit="1" customWidth="1"/>
    <col min="13322" max="13322" width="30.453125" bestFit="1" customWidth="1"/>
    <col min="13326" max="13326" width="10.26953125" customWidth="1"/>
    <col min="13569" max="13569" width="8.7265625" customWidth="1"/>
    <col min="13571" max="13571" width="14.453125" customWidth="1"/>
    <col min="13572" max="13572" width="10.54296875" customWidth="1"/>
    <col min="13573" max="13573" width="14.453125" customWidth="1"/>
    <col min="13574" max="13574" width="18.26953125" customWidth="1"/>
    <col min="13575" max="13575" width="23.453125" bestFit="1" customWidth="1"/>
    <col min="13576" max="13576" width="15.54296875" bestFit="1" customWidth="1"/>
    <col min="13577" max="13577" width="9.7265625" bestFit="1" customWidth="1"/>
    <col min="13578" max="13578" width="30.453125" bestFit="1" customWidth="1"/>
    <col min="13582" max="13582" width="10.26953125" customWidth="1"/>
    <col min="13825" max="13825" width="8.7265625" customWidth="1"/>
    <col min="13827" max="13827" width="14.453125" customWidth="1"/>
    <col min="13828" max="13828" width="10.54296875" customWidth="1"/>
    <col min="13829" max="13829" width="14.453125" customWidth="1"/>
    <col min="13830" max="13830" width="18.26953125" customWidth="1"/>
    <col min="13831" max="13831" width="23.453125" bestFit="1" customWidth="1"/>
    <col min="13832" max="13832" width="15.54296875" bestFit="1" customWidth="1"/>
    <col min="13833" max="13833" width="9.7265625" bestFit="1" customWidth="1"/>
    <col min="13834" max="13834" width="30.453125" bestFit="1" customWidth="1"/>
    <col min="13838" max="13838" width="10.26953125" customWidth="1"/>
    <col min="14081" max="14081" width="8.7265625" customWidth="1"/>
    <col min="14083" max="14083" width="14.453125" customWidth="1"/>
    <col min="14084" max="14084" width="10.54296875" customWidth="1"/>
    <col min="14085" max="14085" width="14.453125" customWidth="1"/>
    <col min="14086" max="14086" width="18.26953125" customWidth="1"/>
    <col min="14087" max="14087" width="23.453125" bestFit="1" customWidth="1"/>
    <col min="14088" max="14088" width="15.54296875" bestFit="1" customWidth="1"/>
    <col min="14089" max="14089" width="9.7265625" bestFit="1" customWidth="1"/>
    <col min="14090" max="14090" width="30.453125" bestFit="1" customWidth="1"/>
    <col min="14094" max="14094" width="10.26953125" customWidth="1"/>
    <col min="14337" max="14337" width="8.7265625" customWidth="1"/>
    <col min="14339" max="14339" width="14.453125" customWidth="1"/>
    <col min="14340" max="14340" width="10.54296875" customWidth="1"/>
    <col min="14341" max="14341" width="14.453125" customWidth="1"/>
    <col min="14342" max="14342" width="18.26953125" customWidth="1"/>
    <col min="14343" max="14343" width="23.453125" bestFit="1" customWidth="1"/>
    <col min="14344" max="14344" width="15.54296875" bestFit="1" customWidth="1"/>
    <col min="14345" max="14345" width="9.7265625" bestFit="1" customWidth="1"/>
    <col min="14346" max="14346" width="30.453125" bestFit="1" customWidth="1"/>
    <col min="14350" max="14350" width="10.26953125" customWidth="1"/>
    <col min="14593" max="14593" width="8.7265625" customWidth="1"/>
    <col min="14595" max="14595" width="14.453125" customWidth="1"/>
    <col min="14596" max="14596" width="10.54296875" customWidth="1"/>
    <col min="14597" max="14597" width="14.453125" customWidth="1"/>
    <col min="14598" max="14598" width="18.26953125" customWidth="1"/>
    <col min="14599" max="14599" width="23.453125" bestFit="1" customWidth="1"/>
    <col min="14600" max="14600" width="15.54296875" bestFit="1" customWidth="1"/>
    <col min="14601" max="14601" width="9.7265625" bestFit="1" customWidth="1"/>
    <col min="14602" max="14602" width="30.453125" bestFit="1" customWidth="1"/>
    <col min="14606" max="14606" width="10.26953125" customWidth="1"/>
    <col min="14849" max="14849" width="8.7265625" customWidth="1"/>
    <col min="14851" max="14851" width="14.453125" customWidth="1"/>
    <col min="14852" max="14852" width="10.54296875" customWidth="1"/>
    <col min="14853" max="14853" width="14.453125" customWidth="1"/>
    <col min="14854" max="14854" width="18.26953125" customWidth="1"/>
    <col min="14855" max="14855" width="23.453125" bestFit="1" customWidth="1"/>
    <col min="14856" max="14856" width="15.54296875" bestFit="1" customWidth="1"/>
    <col min="14857" max="14857" width="9.7265625" bestFit="1" customWidth="1"/>
    <col min="14858" max="14858" width="30.453125" bestFit="1" customWidth="1"/>
    <col min="14862" max="14862" width="10.26953125" customWidth="1"/>
    <col min="15105" max="15105" width="8.7265625" customWidth="1"/>
    <col min="15107" max="15107" width="14.453125" customWidth="1"/>
    <col min="15108" max="15108" width="10.54296875" customWidth="1"/>
    <col min="15109" max="15109" width="14.453125" customWidth="1"/>
    <col min="15110" max="15110" width="18.26953125" customWidth="1"/>
    <col min="15111" max="15111" width="23.453125" bestFit="1" customWidth="1"/>
    <col min="15112" max="15112" width="15.54296875" bestFit="1" customWidth="1"/>
    <col min="15113" max="15113" width="9.7265625" bestFit="1" customWidth="1"/>
    <col min="15114" max="15114" width="30.453125" bestFit="1" customWidth="1"/>
    <col min="15118" max="15118" width="10.26953125" customWidth="1"/>
    <col min="15361" max="15361" width="8.7265625" customWidth="1"/>
    <col min="15363" max="15363" width="14.453125" customWidth="1"/>
    <col min="15364" max="15364" width="10.54296875" customWidth="1"/>
    <col min="15365" max="15365" width="14.453125" customWidth="1"/>
    <col min="15366" max="15366" width="18.26953125" customWidth="1"/>
    <col min="15367" max="15367" width="23.453125" bestFit="1" customWidth="1"/>
    <col min="15368" max="15368" width="15.54296875" bestFit="1" customWidth="1"/>
    <col min="15369" max="15369" width="9.7265625" bestFit="1" customWidth="1"/>
    <col min="15370" max="15370" width="30.453125" bestFit="1" customWidth="1"/>
    <col min="15374" max="15374" width="10.26953125" customWidth="1"/>
    <col min="15617" max="15617" width="8.7265625" customWidth="1"/>
    <col min="15619" max="15619" width="14.453125" customWidth="1"/>
    <col min="15620" max="15620" width="10.54296875" customWidth="1"/>
    <col min="15621" max="15621" width="14.453125" customWidth="1"/>
    <col min="15622" max="15622" width="18.26953125" customWidth="1"/>
    <col min="15623" max="15623" width="23.453125" bestFit="1" customWidth="1"/>
    <col min="15624" max="15624" width="15.54296875" bestFit="1" customWidth="1"/>
    <col min="15625" max="15625" width="9.7265625" bestFit="1" customWidth="1"/>
    <col min="15626" max="15626" width="30.453125" bestFit="1" customWidth="1"/>
    <col min="15630" max="15630" width="10.26953125" customWidth="1"/>
    <col min="15873" max="15873" width="8.7265625" customWidth="1"/>
    <col min="15875" max="15875" width="14.453125" customWidth="1"/>
    <col min="15876" max="15876" width="10.54296875" customWidth="1"/>
    <col min="15877" max="15877" width="14.453125" customWidth="1"/>
    <col min="15878" max="15878" width="18.26953125" customWidth="1"/>
    <col min="15879" max="15879" width="23.453125" bestFit="1" customWidth="1"/>
    <col min="15880" max="15880" width="15.54296875" bestFit="1" customWidth="1"/>
    <col min="15881" max="15881" width="9.7265625" bestFit="1" customWidth="1"/>
    <col min="15882" max="15882" width="30.453125" bestFit="1" customWidth="1"/>
    <col min="15886" max="15886" width="10.26953125" customWidth="1"/>
    <col min="16129" max="16129" width="8.7265625" customWidth="1"/>
    <col min="16131" max="16131" width="14.453125" customWidth="1"/>
    <col min="16132" max="16132" width="10.54296875" customWidth="1"/>
    <col min="16133" max="16133" width="14.453125" customWidth="1"/>
    <col min="16134" max="16134" width="18.26953125" customWidth="1"/>
    <col min="16135" max="16135" width="23.453125" bestFit="1" customWidth="1"/>
    <col min="16136" max="16136" width="15.54296875" bestFit="1" customWidth="1"/>
    <col min="16137" max="16137" width="9.7265625" bestFit="1" customWidth="1"/>
    <col min="16138" max="16138" width="30.453125" bestFit="1" customWidth="1"/>
    <col min="16142" max="16142" width="10.26953125" customWidth="1"/>
  </cols>
  <sheetData>
    <row r="2" spans="1:9" ht="18" x14ac:dyDescent="0.4">
      <c r="A2" s="441" t="s">
        <v>304</v>
      </c>
    </row>
    <row r="3" spans="1:9" ht="18" customHeight="1" x14ac:dyDescent="0.35">
      <c r="A3" s="442" t="s">
        <v>305</v>
      </c>
    </row>
    <row r="4" spans="1:9" ht="18" customHeight="1" x14ac:dyDescent="0.25">
      <c r="A4" s="437"/>
    </row>
    <row r="5" spans="1:9" ht="13" x14ac:dyDescent="0.3">
      <c r="A5" s="443" t="s">
        <v>306</v>
      </c>
    </row>
    <row r="6" spans="1:9" ht="13" x14ac:dyDescent="0.3">
      <c r="C6" s="405"/>
      <c r="D6" s="406"/>
      <c r="E6" s="407" t="s">
        <v>307</v>
      </c>
      <c r="F6" s="408">
        <v>1200</v>
      </c>
      <c r="G6" s="424"/>
      <c r="H6" s="409"/>
      <c r="I6" s="444"/>
    </row>
    <row r="7" spans="1:9" ht="13" x14ac:dyDescent="0.3">
      <c r="B7" s="410"/>
      <c r="C7" s="411"/>
      <c r="D7" s="411"/>
      <c r="E7" s="412" t="s">
        <v>308</v>
      </c>
      <c r="F7" s="413" t="s">
        <v>309</v>
      </c>
      <c r="G7" s="412" t="s">
        <v>310</v>
      </c>
      <c r="H7" s="414"/>
      <c r="I7" s="445"/>
    </row>
    <row r="8" spans="1:9" ht="13" x14ac:dyDescent="0.3">
      <c r="C8" s="415"/>
      <c r="D8" s="416"/>
      <c r="E8" s="417" t="s">
        <v>311</v>
      </c>
      <c r="F8" s="414">
        <v>827000</v>
      </c>
      <c r="G8" s="415" t="s">
        <v>312</v>
      </c>
      <c r="I8" s="443"/>
    </row>
    <row r="9" spans="1:9" ht="13" x14ac:dyDescent="0.3">
      <c r="B9" s="418"/>
      <c r="C9" s="419"/>
      <c r="D9" s="418"/>
      <c r="E9" s="420" t="s">
        <v>313</v>
      </c>
      <c r="F9" s="421">
        <v>876000</v>
      </c>
      <c r="G9" s="419" t="s">
        <v>314</v>
      </c>
      <c r="H9" s="422"/>
      <c r="I9" s="443"/>
    </row>
    <row r="10" spans="1:9" ht="13" x14ac:dyDescent="0.3">
      <c r="C10" s="410"/>
      <c r="D10" s="411"/>
      <c r="E10" s="423" t="s">
        <v>315</v>
      </c>
      <c r="F10" s="424">
        <v>262000</v>
      </c>
      <c r="G10" s="410" t="s">
        <v>316</v>
      </c>
      <c r="H10" s="422"/>
      <c r="I10" s="443"/>
    </row>
    <row r="11" spans="1:9" ht="13" x14ac:dyDescent="0.3">
      <c r="B11" s="425"/>
      <c r="C11" s="426"/>
      <c r="D11" s="425"/>
      <c r="E11" s="427" t="s">
        <v>317</v>
      </c>
      <c r="F11" s="428">
        <v>1330000</v>
      </c>
      <c r="G11" s="426" t="s">
        <v>318</v>
      </c>
      <c r="H11" s="422"/>
      <c r="I11" s="443"/>
    </row>
    <row r="12" spans="1:9" ht="13" x14ac:dyDescent="0.3">
      <c r="B12" s="425"/>
      <c r="C12" s="429"/>
      <c r="D12" s="430"/>
      <c r="E12" s="431" t="s">
        <v>319</v>
      </c>
      <c r="F12" s="432">
        <v>575000</v>
      </c>
      <c r="G12" s="429" t="s">
        <v>320</v>
      </c>
      <c r="H12" s="422"/>
      <c r="I12" s="443"/>
    </row>
    <row r="13" spans="1:9" ht="13" x14ac:dyDescent="0.3">
      <c r="B13" s="425"/>
      <c r="C13" s="429"/>
      <c r="D13" s="430"/>
      <c r="E13" s="433" t="s">
        <v>321</v>
      </c>
      <c r="F13" s="434">
        <v>2463000</v>
      </c>
      <c r="G13" s="446" t="s">
        <v>322</v>
      </c>
      <c r="H13" s="422"/>
      <c r="I13" s="443"/>
    </row>
    <row r="14" spans="1:9" ht="13" x14ac:dyDescent="0.3">
      <c r="B14" s="425"/>
      <c r="C14" s="429"/>
      <c r="D14" s="430"/>
      <c r="E14" s="435" t="s">
        <v>323</v>
      </c>
      <c r="F14" s="436">
        <v>598000</v>
      </c>
      <c r="G14" s="447" t="s">
        <v>324</v>
      </c>
      <c r="H14" s="422"/>
      <c r="I14" s="443"/>
    </row>
    <row r="15" spans="1:9" ht="13" x14ac:dyDescent="0.3">
      <c r="B15" s="443"/>
      <c r="E15" s="448" t="s">
        <v>325</v>
      </c>
      <c r="F15" s="449">
        <f>SUM(F8:F14)</f>
        <v>6931000</v>
      </c>
      <c r="G15" s="450"/>
      <c r="H15" s="450"/>
      <c r="I15" s="450"/>
    </row>
    <row r="16" spans="1:9" ht="13" x14ac:dyDescent="0.3">
      <c r="B16" s="437"/>
      <c r="C16" s="438" t="s">
        <v>326</v>
      </c>
      <c r="D16" s="438" t="s">
        <v>326</v>
      </c>
      <c r="E16" s="438" t="s">
        <v>327</v>
      </c>
      <c r="F16" s="438" t="s">
        <v>328</v>
      </c>
      <c r="G16" s="438" t="s">
        <v>329</v>
      </c>
      <c r="H16" s="438" t="s">
        <v>330</v>
      </c>
      <c r="I16" s="438"/>
    </row>
    <row r="17" spans="1:12" ht="13" x14ac:dyDescent="0.3">
      <c r="A17" s="438" t="s">
        <v>331</v>
      </c>
      <c r="B17" s="438" t="s">
        <v>359</v>
      </c>
      <c r="C17" s="438" t="s">
        <v>332</v>
      </c>
      <c r="D17" s="438" t="s">
        <v>333</v>
      </c>
      <c r="E17" s="438" t="s">
        <v>334</v>
      </c>
      <c r="F17" s="438" t="s">
        <v>335</v>
      </c>
      <c r="G17" s="438" t="s">
        <v>336</v>
      </c>
      <c r="H17" s="438" t="s">
        <v>337</v>
      </c>
      <c r="I17" s="438" t="s">
        <v>338</v>
      </c>
      <c r="J17" s="451" t="s">
        <v>339</v>
      </c>
    </row>
    <row r="18" spans="1:12" ht="13" x14ac:dyDescent="0.3">
      <c r="A18" s="1">
        <v>1</v>
      </c>
      <c r="B18" s="1">
        <v>2024</v>
      </c>
      <c r="C18" s="439">
        <f>VLOOKUP(B18,Tons!$B$10:$G$130,6,FALSE)*(2/12)</f>
        <v>7247.924306277263</v>
      </c>
      <c r="D18" s="440">
        <f t="shared" ref="D18:D60" si="0">+C18*2000/$F$6</f>
        <v>12079.873843795438</v>
      </c>
      <c r="E18" s="439">
        <f>D18</f>
        <v>12079.873843795438</v>
      </c>
      <c r="F18" s="452">
        <f>+F8-D18</f>
        <v>814920.12615620461</v>
      </c>
      <c r="G18" s="439">
        <f>F15-D18</f>
        <v>6918920.1261562044</v>
      </c>
      <c r="H18" s="404">
        <f t="shared" ref="H18:H60" si="1">E18/$F$15</f>
        <v>1.7428760415229316E-3</v>
      </c>
      <c r="I18" s="453" t="s">
        <v>340</v>
      </c>
      <c r="J18" s="437" t="s">
        <v>358</v>
      </c>
      <c r="K18" s="439"/>
    </row>
    <row r="19" spans="1:12" x14ac:dyDescent="0.25">
      <c r="A19" s="1">
        <v>2</v>
      </c>
      <c r="B19" s="1">
        <v>2025</v>
      </c>
      <c r="C19" s="439">
        <f>VLOOKUP(B19,Tons!$B$10:$G$130,6,FALSE)</f>
        <v>47397.561734157112</v>
      </c>
      <c r="D19" s="440">
        <f t="shared" si="0"/>
        <v>78995.936223595185</v>
      </c>
      <c r="E19" s="439">
        <f t="shared" ref="E19:E60" si="2">+E18+D19</f>
        <v>91075.810067390616</v>
      </c>
      <c r="F19" s="453">
        <f t="shared" ref="F19:F26" si="3">F18-D19</f>
        <v>735924.18993260944</v>
      </c>
      <c r="G19" s="439">
        <f t="shared" ref="G19:G60" si="4">G18-D19</f>
        <v>6839924.189932609</v>
      </c>
      <c r="H19" s="404">
        <f t="shared" si="1"/>
        <v>1.3140356379655261E-2</v>
      </c>
      <c r="I19" s="439"/>
      <c r="K19" s="439"/>
    </row>
    <row r="20" spans="1:12" x14ac:dyDescent="0.25">
      <c r="A20" s="1">
        <v>3</v>
      </c>
      <c r="B20" s="1">
        <v>2026</v>
      </c>
      <c r="C20" s="439">
        <f>VLOOKUP(B20,Tons!$B$10:$G$130,6,FALSE)</f>
        <v>57701.580652578763</v>
      </c>
      <c r="D20" s="440">
        <f t="shared" si="0"/>
        <v>96169.301087631276</v>
      </c>
      <c r="E20" s="439">
        <f t="shared" si="2"/>
        <v>187245.11115502188</v>
      </c>
      <c r="F20" s="453">
        <f t="shared" si="3"/>
        <v>639754.88884497818</v>
      </c>
      <c r="G20" s="439">
        <f t="shared" si="4"/>
        <v>6743754.8888449781</v>
      </c>
      <c r="H20" s="404">
        <f t="shared" si="1"/>
        <v>2.7015598204446961E-2</v>
      </c>
      <c r="I20" s="439"/>
      <c r="K20" s="439"/>
    </row>
    <row r="21" spans="1:12" x14ac:dyDescent="0.25">
      <c r="A21" s="1">
        <v>4</v>
      </c>
      <c r="B21" s="1">
        <v>2027</v>
      </c>
      <c r="C21" s="439">
        <f>VLOOKUP(B21,Tons!$B$10:$G$130,6,FALSE)</f>
        <v>59119.045116873371</v>
      </c>
      <c r="D21" s="440">
        <f t="shared" si="0"/>
        <v>98531.741861455608</v>
      </c>
      <c r="E21" s="439">
        <f t="shared" si="2"/>
        <v>285776.85301647749</v>
      </c>
      <c r="F21" s="453">
        <f t="shared" si="3"/>
        <v>541223.14698352257</v>
      </c>
      <c r="G21" s="439">
        <f t="shared" si="4"/>
        <v>6645223.1469835229</v>
      </c>
      <c r="H21" s="404">
        <f t="shared" si="1"/>
        <v>4.1231691388901669E-2</v>
      </c>
      <c r="I21" s="440"/>
      <c r="J21" s="437"/>
      <c r="K21" s="439"/>
    </row>
    <row r="22" spans="1:12" x14ac:dyDescent="0.25">
      <c r="A22" s="1">
        <v>5</v>
      </c>
      <c r="B22" s="1">
        <v>2028</v>
      </c>
      <c r="C22" s="439">
        <f>VLOOKUP(B22,Tons!$B$10:$G$130,6,FALSE)</f>
        <v>60575.944188359899</v>
      </c>
      <c r="D22" s="440">
        <f t="shared" si="0"/>
        <v>100959.90698059983</v>
      </c>
      <c r="E22" s="439">
        <f t="shared" si="2"/>
        <v>386736.75999707729</v>
      </c>
      <c r="F22" s="453">
        <f t="shared" si="3"/>
        <v>440263.24000292271</v>
      </c>
      <c r="G22" s="439">
        <f t="shared" si="4"/>
        <v>6544263.2400029227</v>
      </c>
      <c r="H22" s="404">
        <f t="shared" si="1"/>
        <v>5.5798118597183276E-2</v>
      </c>
      <c r="I22" s="440"/>
      <c r="J22" s="454"/>
      <c r="K22" s="439"/>
    </row>
    <row r="23" spans="1:12" x14ac:dyDescent="0.25">
      <c r="A23" s="1">
        <v>6</v>
      </c>
      <c r="B23" s="1">
        <v>2029</v>
      </c>
      <c r="C23" s="439">
        <f>VLOOKUP(B23,Tons!$B$10:$G$130,6,FALSE)</f>
        <v>62073.427013909051</v>
      </c>
      <c r="D23" s="440">
        <f t="shared" si="0"/>
        <v>103455.71168984841</v>
      </c>
      <c r="E23" s="439">
        <f t="shared" si="2"/>
        <v>490192.47168692568</v>
      </c>
      <c r="F23" s="453">
        <f t="shared" si="3"/>
        <v>336807.52831307432</v>
      </c>
      <c r="G23" s="439">
        <f t="shared" si="4"/>
        <v>6440807.5283130743</v>
      </c>
      <c r="H23" s="404">
        <f t="shared" si="1"/>
        <v>7.0724638823679936E-2</v>
      </c>
      <c r="I23" s="439"/>
      <c r="J23" s="437"/>
      <c r="K23" s="439"/>
    </row>
    <row r="24" spans="1:12" x14ac:dyDescent="0.25">
      <c r="A24" s="1">
        <v>7</v>
      </c>
      <c r="B24" s="1">
        <v>2030</v>
      </c>
      <c r="C24" s="439">
        <f>VLOOKUP(B24,Tons!$B$10:$G$130,6,FALSE)</f>
        <v>63612.677310052677</v>
      </c>
      <c r="D24" s="440">
        <f t="shared" si="0"/>
        <v>106021.1288500878</v>
      </c>
      <c r="E24" s="439">
        <f t="shared" si="2"/>
        <v>596213.6005370135</v>
      </c>
      <c r="F24" s="453">
        <f t="shared" si="3"/>
        <v>230786.3994629865</v>
      </c>
      <c r="G24" s="439">
        <f t="shared" si="4"/>
        <v>6334786.3994629867</v>
      </c>
      <c r="H24" s="404">
        <f t="shared" si="1"/>
        <v>8.6021295705816403E-2</v>
      </c>
      <c r="J24" s="454"/>
      <c r="K24" s="439"/>
    </row>
    <row r="25" spans="1:12" ht="12.75" customHeight="1" x14ac:dyDescent="0.25">
      <c r="A25" s="1">
        <v>8</v>
      </c>
      <c r="B25" s="1">
        <v>2031</v>
      </c>
      <c r="C25" s="439">
        <f>VLOOKUP(B25,Tons!$B$10:$G$130,6,FALSE)</f>
        <v>65194.914432891586</v>
      </c>
      <c r="D25" s="440">
        <f t="shared" si="0"/>
        <v>108658.19072148598</v>
      </c>
      <c r="E25" s="439">
        <f t="shared" si="2"/>
        <v>704871.79125849949</v>
      </c>
      <c r="F25" s="453">
        <f t="shared" si="3"/>
        <v>122128.20874150052</v>
      </c>
      <c r="G25" s="439">
        <f t="shared" si="4"/>
        <v>6226128.208741501</v>
      </c>
      <c r="H25" s="404">
        <f t="shared" si="1"/>
        <v>0.10169842609414219</v>
      </c>
      <c r="I25" s="439"/>
      <c r="J25" s="454"/>
      <c r="K25" s="439"/>
    </row>
    <row r="26" spans="1:12" ht="12.75" customHeight="1" x14ac:dyDescent="0.25">
      <c r="A26" s="1">
        <v>9</v>
      </c>
      <c r="B26" s="1">
        <v>2032</v>
      </c>
      <c r="C26" s="439">
        <f>VLOOKUP(B26,Tons!$B$10:$G$130,6,FALSE)</f>
        <v>66821.39448198938</v>
      </c>
      <c r="D26" s="440">
        <f t="shared" si="0"/>
        <v>111368.99080331564</v>
      </c>
      <c r="E26" s="439">
        <f t="shared" si="2"/>
        <v>816240.78206181515</v>
      </c>
      <c r="F26" s="453">
        <f t="shared" si="3"/>
        <v>10759.217938184884</v>
      </c>
      <c r="G26" s="439">
        <f t="shared" si="4"/>
        <v>6114759.2179381857</v>
      </c>
      <c r="H26" s="404">
        <f t="shared" si="1"/>
        <v>0.1177666688878683</v>
      </c>
      <c r="J26" s="454"/>
      <c r="K26" s="439"/>
    </row>
    <row r="27" spans="1:12" ht="12.75" customHeight="1" x14ac:dyDescent="0.3">
      <c r="A27" s="1">
        <v>10</v>
      </c>
      <c r="B27" s="1">
        <v>2033</v>
      </c>
      <c r="C27" s="439">
        <f>VLOOKUP(B27,Tons!$B$10:$G$130,6,FALSE)</f>
        <v>68493.411439357122</v>
      </c>
      <c r="D27" s="440">
        <f t="shared" si="0"/>
        <v>114155.68573226186</v>
      </c>
      <c r="E27" s="439">
        <f t="shared" si="2"/>
        <v>930396.46779407701</v>
      </c>
      <c r="F27" s="455">
        <f>F26-D27+$F$9</f>
        <v>772603.53220592299</v>
      </c>
      <c r="G27" s="439">
        <f t="shared" si="4"/>
        <v>6000603.5322059235</v>
      </c>
      <c r="H27" s="404">
        <f t="shared" si="1"/>
        <v>0.13423697414429042</v>
      </c>
      <c r="I27" s="456" t="s">
        <v>341</v>
      </c>
      <c r="J27" s="454"/>
      <c r="K27" s="439"/>
    </row>
    <row r="28" spans="1:12" ht="12.75" customHeight="1" x14ac:dyDescent="0.25">
      <c r="A28" s="1">
        <v>11</v>
      </c>
      <c r="B28" s="1">
        <v>2034</v>
      </c>
      <c r="C28" s="439">
        <f>VLOOKUP(B28,Tons!$B$10:$G$130,6,FALSE)</f>
        <v>70212.298344670198</v>
      </c>
      <c r="D28" s="440">
        <f t="shared" si="0"/>
        <v>117020.49724111699</v>
      </c>
      <c r="E28" s="439">
        <f t="shared" si="2"/>
        <v>1047416.9650351939</v>
      </c>
      <c r="F28" s="456">
        <f t="shared" ref="F28:F33" si="5">F27-D28</f>
        <v>655583.03496480605</v>
      </c>
      <c r="G28" s="439">
        <f t="shared" si="4"/>
        <v>5883583.0349648064</v>
      </c>
      <c r="H28" s="404">
        <f t="shared" si="1"/>
        <v>0.15112061247081143</v>
      </c>
      <c r="J28" s="454"/>
      <c r="K28" s="439"/>
      <c r="L28" s="422"/>
    </row>
    <row r="29" spans="1:12" ht="12.75" customHeight="1" x14ac:dyDescent="0.25">
      <c r="A29" s="1">
        <v>12</v>
      </c>
      <c r="B29" s="1">
        <v>2035</v>
      </c>
      <c r="C29" s="439">
        <f>VLOOKUP(B29,Tons!$B$10:$G$130,6,FALSE)</f>
        <v>71979.42850789646</v>
      </c>
      <c r="D29" s="440">
        <f t="shared" si="0"/>
        <v>119965.71417982742</v>
      </c>
      <c r="E29" s="439">
        <f t="shared" si="2"/>
        <v>1167382.6792150214</v>
      </c>
      <c r="F29" s="456">
        <f t="shared" si="5"/>
        <v>535617.32078497857</v>
      </c>
      <c r="G29" s="439">
        <f t="shared" si="4"/>
        <v>5763617.3207849786</v>
      </c>
      <c r="H29" s="404">
        <f t="shared" si="1"/>
        <v>0.16842918470855886</v>
      </c>
      <c r="J29" s="454"/>
      <c r="K29" s="439"/>
    </row>
    <row r="30" spans="1:12" ht="12.75" customHeight="1" x14ac:dyDescent="0.25">
      <c r="A30" s="1">
        <v>13</v>
      </c>
      <c r="B30" s="1">
        <v>2036</v>
      </c>
      <c r="C30" s="439">
        <f>VLOOKUP(B30,Tons!$B$10:$G$130,6,FALSE)</f>
        <v>73796.216760554205</v>
      </c>
      <c r="D30" s="440">
        <f t="shared" si="0"/>
        <v>122993.69460092369</v>
      </c>
      <c r="E30" s="439">
        <f t="shared" si="2"/>
        <v>1290376.3738159451</v>
      </c>
      <c r="F30" s="456">
        <f t="shared" si="5"/>
        <v>412623.62618405488</v>
      </c>
      <c r="G30" s="439">
        <f t="shared" si="4"/>
        <v>5640623.6261840547</v>
      </c>
      <c r="H30" s="404">
        <f t="shared" si="1"/>
        <v>0.18617463191688718</v>
      </c>
      <c r="J30" s="454"/>
      <c r="K30" s="437"/>
    </row>
    <row r="31" spans="1:12" ht="12.75" customHeight="1" x14ac:dyDescent="0.25">
      <c r="A31" s="1">
        <v>14</v>
      </c>
      <c r="B31" s="1">
        <v>2037</v>
      </c>
      <c r="C31" s="439">
        <f>VLOOKUP(B31,Tons!$B$10:$G$130,6,FALSE)</f>
        <v>75664.120746858578</v>
      </c>
      <c r="D31" s="440">
        <f t="shared" si="0"/>
        <v>126106.86791143096</v>
      </c>
      <c r="E31" s="439">
        <f t="shared" si="2"/>
        <v>1416483.2417273761</v>
      </c>
      <c r="F31" s="456">
        <f t="shared" si="5"/>
        <v>286516.75827262393</v>
      </c>
      <c r="G31" s="439">
        <f t="shared" si="4"/>
        <v>5514516.7582726236</v>
      </c>
      <c r="H31" s="404">
        <f t="shared" si="1"/>
        <v>0.2043692456683561</v>
      </c>
      <c r="J31" s="454"/>
      <c r="K31" s="439"/>
    </row>
    <row r="32" spans="1:12" ht="12.75" customHeight="1" x14ac:dyDescent="0.25">
      <c r="A32" s="1">
        <v>15</v>
      </c>
      <c r="B32" s="1">
        <v>2038</v>
      </c>
      <c r="C32" s="439">
        <f>VLOOKUP(B32,Tons!$B$10:$G$130,6,FALSE)</f>
        <v>77584.642256057195</v>
      </c>
      <c r="D32" s="440">
        <f t="shared" si="0"/>
        <v>129307.73709342867</v>
      </c>
      <c r="E32" s="439">
        <f t="shared" si="2"/>
        <v>1545790.9788208047</v>
      </c>
      <c r="F32" s="456">
        <f t="shared" si="5"/>
        <v>157209.02117919526</v>
      </c>
      <c r="G32" s="439">
        <f t="shared" si="4"/>
        <v>5385209.0211791946</v>
      </c>
      <c r="H32" s="404">
        <f t="shared" si="1"/>
        <v>0.22302567866408957</v>
      </c>
      <c r="J32" s="454"/>
      <c r="K32" s="439"/>
    </row>
    <row r="33" spans="1:14" ht="12.75" customHeight="1" x14ac:dyDescent="0.25">
      <c r="A33" s="1">
        <v>16</v>
      </c>
      <c r="B33" s="1">
        <v>2039</v>
      </c>
      <c r="C33" s="439">
        <f>VLOOKUP(B33,Tons!$B$10:$G$130,6,FALSE)</f>
        <v>79559.32859729862</v>
      </c>
      <c r="D33" s="440">
        <f t="shared" si="0"/>
        <v>132598.88099549769</v>
      </c>
      <c r="E33" s="439">
        <f>+E32+D33</f>
        <v>1678389.8598163025</v>
      </c>
      <c r="F33" s="456">
        <f t="shared" si="5"/>
        <v>24610.140183697571</v>
      </c>
      <c r="G33" s="439">
        <f t="shared" si="4"/>
        <v>5252610.1401836965</v>
      </c>
      <c r="H33" s="404">
        <f t="shared" si="1"/>
        <v>0.24215695567974355</v>
      </c>
      <c r="J33" s="454"/>
      <c r="K33" s="439"/>
    </row>
    <row r="34" spans="1:14" ht="12.75" customHeight="1" x14ac:dyDescent="0.3">
      <c r="A34" s="1">
        <v>17</v>
      </c>
      <c r="B34" s="1">
        <v>2040</v>
      </c>
      <c r="C34" s="439">
        <f>VLOOKUP(B34,Tons!$B$10:$G$130,6,FALSE)</f>
        <v>81589.774018422337</v>
      </c>
      <c r="D34" s="440">
        <f t="shared" si="0"/>
        <v>135982.95669737057</v>
      </c>
      <c r="E34" s="439">
        <f>+E33+D34</f>
        <v>1814372.8165136732</v>
      </c>
      <c r="F34" s="457">
        <f>F33-D34+$F$10</f>
        <v>150627.18348632701</v>
      </c>
      <c r="G34" s="439">
        <f t="shared" si="4"/>
        <v>5116627.1834863257</v>
      </c>
      <c r="H34" s="404">
        <f t="shared" si="1"/>
        <v>0.26177648485264365</v>
      </c>
      <c r="I34" s="458" t="s">
        <v>342</v>
      </c>
      <c r="J34" s="454"/>
      <c r="K34" s="439"/>
    </row>
    <row r="35" spans="1:14" ht="12.75" customHeight="1" x14ac:dyDescent="0.3">
      <c r="A35" s="1">
        <v>18</v>
      </c>
      <c r="B35" s="1">
        <v>2041</v>
      </c>
      <c r="C35" s="439">
        <f>VLOOKUP(B35,Tons!$B$10:$G$130,6,FALSE)</f>
        <v>83677.621170104831</v>
      </c>
      <c r="D35" s="440">
        <f t="shared" si="0"/>
        <v>139462.70195017473</v>
      </c>
      <c r="E35" s="439">
        <f>+E34+D35</f>
        <v>1953835.5184638479</v>
      </c>
      <c r="F35" s="470">
        <f>F34-D35+$F$11</f>
        <v>1341164.4815361523</v>
      </c>
      <c r="G35" s="439">
        <f t="shared" si="4"/>
        <v>4977164.4815361509</v>
      </c>
      <c r="H35" s="404">
        <f t="shared" si="1"/>
        <v>0.28189806932099953</v>
      </c>
      <c r="I35" s="459" t="s">
        <v>343</v>
      </c>
      <c r="J35" s="437"/>
      <c r="K35" s="439"/>
    </row>
    <row r="36" spans="1:14" ht="12.75" customHeight="1" x14ac:dyDescent="0.25">
      <c r="A36" s="1">
        <v>19</v>
      </c>
      <c r="B36" s="1">
        <v>2042</v>
      </c>
      <c r="C36" s="439">
        <f>VLOOKUP(B36,Tons!$B$10:$G$130,6,FALSE)</f>
        <v>85824.562616844356</v>
      </c>
      <c r="D36" s="440">
        <f t="shared" si="0"/>
        <v>143040.9376947406</v>
      </c>
      <c r="E36" s="439">
        <f t="shared" si="2"/>
        <v>2096876.4561585886</v>
      </c>
      <c r="F36" s="459">
        <f t="shared" ref="F36:F46" si="6">F35-D36</f>
        <v>1198123.5438414118</v>
      </c>
      <c r="G36" s="439">
        <f t="shared" si="4"/>
        <v>4834123.5438414104</v>
      </c>
      <c r="H36" s="404">
        <f t="shared" si="1"/>
        <v>0.30253591922645917</v>
      </c>
      <c r="J36" s="437"/>
      <c r="K36" s="439"/>
    </row>
    <row r="37" spans="1:14" ht="12.75" customHeight="1" x14ac:dyDescent="0.25">
      <c r="A37" s="1">
        <v>20</v>
      </c>
      <c r="B37" s="1">
        <v>2043</v>
      </c>
      <c r="C37" s="439">
        <f>VLOOKUP(B37,Tons!$B$10:$G$130,6,FALSE)</f>
        <v>88032.342396315958</v>
      </c>
      <c r="D37" s="440">
        <f t="shared" si="0"/>
        <v>146720.5706605266</v>
      </c>
      <c r="E37" s="439">
        <f t="shared" si="2"/>
        <v>2243597.026819115</v>
      </c>
      <c r="F37" s="459">
        <f t="shared" si="6"/>
        <v>1051402.9731808852</v>
      </c>
      <c r="G37" s="439">
        <f t="shared" si="4"/>
        <v>4687402.9731808836</v>
      </c>
      <c r="H37" s="404">
        <f t="shared" si="1"/>
        <v>0.32370466409163395</v>
      </c>
      <c r="J37" s="437"/>
      <c r="K37" s="439"/>
    </row>
    <row r="38" spans="1:14" ht="12.75" customHeight="1" x14ac:dyDescent="0.25">
      <c r="A38" s="1">
        <v>21</v>
      </c>
      <c r="B38" s="1">
        <v>2044</v>
      </c>
      <c r="C38" s="439">
        <f>VLOOKUP(B38,Tons!$B$10:$G$130,6,FALSE)</f>
        <v>90302.757628679858</v>
      </c>
      <c r="D38" s="440">
        <f t="shared" si="0"/>
        <v>150504.59604779977</v>
      </c>
      <c r="E38" s="439">
        <f t="shared" si="2"/>
        <v>2394101.6228669146</v>
      </c>
      <c r="F38" s="459">
        <f t="shared" si="6"/>
        <v>900898.37713308539</v>
      </c>
      <c r="G38" s="439">
        <f t="shared" si="4"/>
        <v>4536898.3771330835</v>
      </c>
      <c r="H38" s="404">
        <f t="shared" si="1"/>
        <v>0.34541936558460751</v>
      </c>
      <c r="J38" s="437"/>
      <c r="K38" s="439"/>
    </row>
    <row r="39" spans="1:14" ht="12.75" customHeight="1" x14ac:dyDescent="0.25">
      <c r="A39" s="1">
        <v>22</v>
      </c>
      <c r="B39" s="1">
        <v>2045</v>
      </c>
      <c r="C39" s="439">
        <f>VLOOKUP(B39,Tons!$B$10:$G$130,6,FALSE)</f>
        <v>92637.660177478538</v>
      </c>
      <c r="D39" s="440">
        <f t="shared" si="0"/>
        <v>154396.10029579757</v>
      </c>
      <c r="E39" s="439">
        <f t="shared" si="2"/>
        <v>2548497.7231627121</v>
      </c>
      <c r="F39" s="459">
        <f t="shared" si="6"/>
        <v>746502.27683728782</v>
      </c>
      <c r="G39" s="439">
        <f t="shared" si="4"/>
        <v>4382502.2768372856</v>
      </c>
      <c r="H39" s="404">
        <f t="shared" si="1"/>
        <v>0.36769553068283251</v>
      </c>
      <c r="K39" s="439"/>
    </row>
    <row r="40" spans="1:14" ht="12.75" customHeight="1" x14ac:dyDescent="0.25">
      <c r="A40" s="1">
        <v>23</v>
      </c>
      <c r="B40" s="1">
        <v>2046</v>
      </c>
      <c r="C40" s="439">
        <f>VLOOKUP(B40,Tons!$B$10:$G$130,6,FALSE)</f>
        <v>95038.958363812882</v>
      </c>
      <c r="D40" s="440">
        <f t="shared" si="0"/>
        <v>158398.26393968813</v>
      </c>
      <c r="E40" s="439">
        <f t="shared" si="2"/>
        <v>2706895.9871024</v>
      </c>
      <c r="F40" s="459">
        <f t="shared" si="6"/>
        <v>588104.01289759972</v>
      </c>
      <c r="G40" s="439">
        <f t="shared" si="4"/>
        <v>4224104.0128975976</v>
      </c>
      <c r="H40" s="404">
        <f t="shared" si="1"/>
        <v>0.39054912524922814</v>
      </c>
      <c r="K40" s="439"/>
    </row>
    <row r="41" spans="1:14" ht="12.75" customHeight="1" x14ac:dyDescent="0.25">
      <c r="A41" s="1">
        <v>24</v>
      </c>
      <c r="B41" s="1">
        <v>2047</v>
      </c>
      <c r="C41" s="439">
        <f>VLOOKUP(B41,Tons!$B$10:$G$130,6,FALSE)</f>
        <v>97508.61873554386</v>
      </c>
      <c r="D41" s="440">
        <f t="shared" si="0"/>
        <v>162514.36455923977</v>
      </c>
      <c r="E41" s="439">
        <f t="shared" si="2"/>
        <v>2869410.3516616398</v>
      </c>
      <c r="F41" s="459">
        <f t="shared" si="6"/>
        <v>425589.64833835996</v>
      </c>
      <c r="G41" s="439">
        <f t="shared" si="4"/>
        <v>4061589.6483383579</v>
      </c>
      <c r="H41" s="404">
        <f t="shared" si="1"/>
        <v>0.41399658803370937</v>
      </c>
      <c r="K41" s="439"/>
    </row>
    <row r="42" spans="1:14" ht="12.75" customHeight="1" x14ac:dyDescent="0.25">
      <c r="A42" s="1">
        <v>25</v>
      </c>
      <c r="B42" s="1">
        <v>2048</v>
      </c>
      <c r="C42" s="439">
        <f>VLOOKUP(B42,Tons!$B$10:$G$130,6,FALSE)</f>
        <v>100048.66789332428</v>
      </c>
      <c r="D42" s="440">
        <f t="shared" si="0"/>
        <v>166747.77982220714</v>
      </c>
      <c r="E42" s="439">
        <f t="shared" si="2"/>
        <v>3036158.1314838468</v>
      </c>
      <c r="F42" s="459">
        <f t="shared" si="6"/>
        <v>258841.86851615281</v>
      </c>
      <c r="G42" s="439">
        <f t="shared" si="4"/>
        <v>3894841.8685161509</v>
      </c>
      <c r="H42" s="404">
        <f t="shared" si="1"/>
        <v>0.43805484511381426</v>
      </c>
      <c r="K42" s="439"/>
      <c r="M42" s="418"/>
      <c r="N42" s="418"/>
    </row>
    <row r="43" spans="1:14" ht="12.75" customHeight="1" x14ac:dyDescent="0.25">
      <c r="A43" s="1">
        <v>26</v>
      </c>
      <c r="B43" s="1">
        <v>2049</v>
      </c>
      <c r="C43" s="439">
        <f>VLOOKUP(B43,Tons!$B$10:$G$130,6,FALSE)</f>
        <v>102661.19437532619</v>
      </c>
      <c r="D43" s="440">
        <f t="shared" si="0"/>
        <v>171101.99062554364</v>
      </c>
      <c r="E43" s="439">
        <f t="shared" si="2"/>
        <v>3207260.1221093903</v>
      </c>
      <c r="F43" s="459">
        <f t="shared" si="6"/>
        <v>87739.877890609176</v>
      </c>
      <c r="G43" s="439">
        <f t="shared" si="4"/>
        <v>3723739.8778906073</v>
      </c>
      <c r="H43" s="404">
        <f t="shared" si="1"/>
        <v>0.46274132478854285</v>
      </c>
      <c r="J43" s="437"/>
      <c r="K43" s="439"/>
    </row>
    <row r="44" spans="1:14" ht="12.75" customHeight="1" x14ac:dyDescent="0.3">
      <c r="A44" s="1">
        <v>27</v>
      </c>
      <c r="B44" s="1">
        <v>2050</v>
      </c>
      <c r="C44" s="439">
        <f>VLOOKUP(B44,Tons!$B$10:$G$130,6,FALSE)</f>
        <v>105348.35060259099</v>
      </c>
      <c r="D44" s="440">
        <f t="shared" si="0"/>
        <v>175580.58433765164</v>
      </c>
      <c r="E44" s="439">
        <f t="shared" si="2"/>
        <v>3382840.7064470421</v>
      </c>
      <c r="F44" s="460">
        <f>F43-D44+$F$12</f>
        <v>487159.29355295753</v>
      </c>
      <c r="G44" s="439">
        <f t="shared" si="4"/>
        <v>3548159.2935529556</v>
      </c>
      <c r="H44" s="404">
        <f t="shared" si="1"/>
        <v>0.48807397293998589</v>
      </c>
      <c r="I44" s="461" t="s">
        <v>344</v>
      </c>
      <c r="J44" s="454"/>
      <c r="K44" s="439"/>
      <c r="M44" s="410"/>
      <c r="N44" s="410"/>
    </row>
    <row r="45" spans="1:14" ht="12.75" customHeight="1" x14ac:dyDescent="0.25">
      <c r="A45" s="1">
        <v>28</v>
      </c>
      <c r="B45" s="1">
        <v>2051</v>
      </c>
      <c r="C45" s="439">
        <f>VLOOKUP(B45,Tons!$B$10:$G$130,6,FALSE)</f>
        <v>108112.35488699409</v>
      </c>
      <c r="D45" s="440">
        <f t="shared" si="0"/>
        <v>180187.25814499013</v>
      </c>
      <c r="E45" s="439">
        <f t="shared" si="2"/>
        <v>3563027.9645920321</v>
      </c>
      <c r="F45" s="461">
        <f t="shared" si="6"/>
        <v>306972.0354079674</v>
      </c>
      <c r="G45" s="439">
        <f t="shared" si="4"/>
        <v>3367972.0354079655</v>
      </c>
      <c r="H45" s="404">
        <f t="shared" si="1"/>
        <v>0.51407126887780008</v>
      </c>
      <c r="J45" s="437"/>
      <c r="K45" s="439"/>
    </row>
    <row r="46" spans="1:14" ht="12.75" customHeight="1" x14ac:dyDescent="0.25">
      <c r="A46" s="1">
        <v>29</v>
      </c>
      <c r="B46" s="1">
        <v>2052</v>
      </c>
      <c r="C46" s="439">
        <f>VLOOKUP(B46,Tons!$B$10:$G$130,6,FALSE)</f>
        <v>110955.49350388274</v>
      </c>
      <c r="D46" s="440">
        <f t="shared" si="0"/>
        <v>184925.82250647122</v>
      </c>
      <c r="E46" s="439">
        <f t="shared" si="2"/>
        <v>3747953.7870985032</v>
      </c>
      <c r="F46" s="461">
        <f t="shared" si="6"/>
        <v>122046.21290149618</v>
      </c>
      <c r="G46" s="439">
        <f t="shared" si="4"/>
        <v>3183046.2129014945</v>
      </c>
      <c r="H46" s="404">
        <f t="shared" si="1"/>
        <v>0.54075224168208103</v>
      </c>
      <c r="J46" s="454"/>
      <c r="K46" s="439"/>
    </row>
    <row r="47" spans="1:14" ht="12.75" customHeight="1" x14ac:dyDescent="0.3">
      <c r="A47" s="1">
        <v>30</v>
      </c>
      <c r="B47" s="1">
        <v>2053</v>
      </c>
      <c r="C47" s="439">
        <f>VLOOKUP(B47,Tons!$B$10:$G$130,6,FALSE)</f>
        <v>113880.12283151421</v>
      </c>
      <c r="D47" s="440">
        <f t="shared" si="0"/>
        <v>189800.20471919034</v>
      </c>
      <c r="E47" s="439">
        <f t="shared" si="2"/>
        <v>3937753.9918176937</v>
      </c>
      <c r="F47" s="462">
        <f>F46-D47+$F$13</f>
        <v>2395246.0081823058</v>
      </c>
      <c r="G47" s="439">
        <f t="shared" si="4"/>
        <v>2993246.008182304</v>
      </c>
      <c r="H47" s="404">
        <f t="shared" si="1"/>
        <v>0.56813648706069741</v>
      </c>
      <c r="I47" s="463" t="s">
        <v>345</v>
      </c>
      <c r="J47" s="454"/>
      <c r="K47" s="439"/>
    </row>
    <row r="48" spans="1:14" ht="12.75" customHeight="1" x14ac:dyDescent="0.25">
      <c r="A48" s="1">
        <v>31</v>
      </c>
      <c r="B48" s="1">
        <v>2054</v>
      </c>
      <c r="C48" s="439">
        <f>VLOOKUP(B48,Tons!$B$10:$G$130,6,FALSE)</f>
        <v>116888.67155949278</v>
      </c>
      <c r="D48" s="440">
        <f t="shared" si="0"/>
        <v>194814.45259915464</v>
      </c>
      <c r="E48" s="439">
        <f t="shared" si="2"/>
        <v>4132568.4444168485</v>
      </c>
      <c r="F48" s="463">
        <f>F47-D48</f>
        <v>2200431.5555831511</v>
      </c>
      <c r="G48" s="439">
        <f t="shared" si="4"/>
        <v>2798431.5555831492</v>
      </c>
      <c r="H48" s="404">
        <f t="shared" si="1"/>
        <v>0.59624418473767837</v>
      </c>
      <c r="J48" s="437"/>
      <c r="K48" s="439"/>
    </row>
    <row r="49" spans="1:10" x14ac:dyDescent="0.25">
      <c r="A49" s="1">
        <v>32</v>
      </c>
      <c r="B49" s="1">
        <v>2055</v>
      </c>
      <c r="C49" s="439">
        <f>VLOOKUP(B49,Tons!$B$10:$G$130,6,FALSE)</f>
        <v>119983.64296847784</v>
      </c>
      <c r="D49" s="440">
        <f t="shared" si="0"/>
        <v>199972.73828079642</v>
      </c>
      <c r="E49" s="439">
        <f t="shared" si="2"/>
        <v>4332541.1826976445</v>
      </c>
      <c r="F49" s="463">
        <f>F48-D49</f>
        <v>2000458.8173023546</v>
      </c>
      <c r="G49" s="439">
        <f t="shared" si="4"/>
        <v>2598458.8173023527</v>
      </c>
      <c r="H49" s="404">
        <f t="shared" si="1"/>
        <v>0.62509611638979146</v>
      </c>
      <c r="J49" s="437"/>
    </row>
    <row r="50" spans="1:10" x14ac:dyDescent="0.25">
      <c r="A50" s="1">
        <v>33</v>
      </c>
      <c r="B50" s="1">
        <v>2056</v>
      </c>
      <c r="C50" s="439">
        <f>VLOOKUP(B50,Tons!$B$10:$G$130,6,FALSE)</f>
        <v>123167.61728351114</v>
      </c>
      <c r="D50" s="440">
        <f t="shared" si="0"/>
        <v>205279.36213918522</v>
      </c>
      <c r="E50" s="439">
        <f t="shared" si="2"/>
        <v>4537820.5448368294</v>
      </c>
      <c r="F50" s="463">
        <f>F49-D50</f>
        <v>1795179.4551631694</v>
      </c>
      <c r="G50" s="439">
        <f t="shared" si="4"/>
        <v>2393179.4551631673</v>
      </c>
      <c r="H50" s="404">
        <f t="shared" si="1"/>
        <v>0.65471368414901598</v>
      </c>
      <c r="I50" s="463"/>
      <c r="J50" s="437"/>
    </row>
    <row r="51" spans="1:10" x14ac:dyDescent="0.25">
      <c r="A51" s="1">
        <v>34</v>
      </c>
      <c r="B51" s="1">
        <v>2057</v>
      </c>
      <c r="C51" s="439">
        <f>VLOOKUP(B51,Tons!$B$10:$G$130,6,FALSE)</f>
        <v>126443.25410339044</v>
      </c>
      <c r="D51" s="440">
        <f t="shared" si="0"/>
        <v>210738.75683898406</v>
      </c>
      <c r="E51" s="439">
        <f t="shared" si="2"/>
        <v>4748559.3016758133</v>
      </c>
      <c r="F51" s="463">
        <f t="shared" ref="F51:F60" si="7">F50-D51</f>
        <v>1584440.6983241853</v>
      </c>
      <c r="G51" s="439">
        <f t="shared" si="4"/>
        <v>2182440.6983241835</v>
      </c>
      <c r="H51" s="404">
        <f t="shared" si="1"/>
        <v>0.68511892968919541</v>
      </c>
      <c r="I51" s="463"/>
      <c r="J51" s="437"/>
    </row>
    <row r="52" spans="1:10" x14ac:dyDescent="0.25">
      <c r="A52" s="1">
        <v>35</v>
      </c>
      <c r="B52" s="1">
        <v>2058</v>
      </c>
      <c r="C52" s="439">
        <f>VLOOKUP(B52,Tons!$B$10:$G$130,6,FALSE)</f>
        <v>129813.29490859745</v>
      </c>
      <c r="D52" s="440">
        <f t="shared" si="0"/>
        <v>216355.4915143291</v>
      </c>
      <c r="E52" s="439">
        <f t="shared" si="2"/>
        <v>4964914.7931901421</v>
      </c>
      <c r="F52" s="463">
        <f t="shared" si="7"/>
        <v>1368085.2068098562</v>
      </c>
      <c r="G52" s="439">
        <f t="shared" si="4"/>
        <v>1966085.2068098544</v>
      </c>
      <c r="H52" s="404">
        <f t="shared" si="1"/>
        <v>0.7163345539157614</v>
      </c>
      <c r="I52" s="463"/>
      <c r="J52" s="437"/>
    </row>
    <row r="53" spans="1:10" x14ac:dyDescent="0.25">
      <c r="A53" s="1">
        <v>36</v>
      </c>
      <c r="B53" s="1">
        <v>2059</v>
      </c>
      <c r="C53" s="439">
        <f>VLOOKUP(B53,Tons!$B$10:$G$130,6,FALSE)</f>
        <v>133280.56565037323</v>
      </c>
      <c r="D53" s="440">
        <f t="shared" si="0"/>
        <v>222134.2760839554</v>
      </c>
      <c r="E53" s="439">
        <f t="shared" si="2"/>
        <v>5187049.0692740977</v>
      </c>
      <c r="F53" s="463">
        <f t="shared" si="7"/>
        <v>1145950.9307259009</v>
      </c>
      <c r="G53" s="439">
        <f t="shared" si="4"/>
        <v>1743950.9307258991</v>
      </c>
      <c r="H53" s="404">
        <f t="shared" si="1"/>
        <v>0.74838393727804031</v>
      </c>
      <c r="I53" s="463"/>
      <c r="J53" s="437"/>
    </row>
    <row r="54" spans="1:10" x14ac:dyDescent="0.25">
      <c r="A54" s="1">
        <v>37</v>
      </c>
      <c r="B54" s="1">
        <v>2060</v>
      </c>
      <c r="C54" s="439">
        <f>VLOOKUP(B54,Tons!$B$10:$G$130,6,FALSE)</f>
        <v>136847.97942361969</v>
      </c>
      <c r="D54" s="440">
        <f t="shared" si="0"/>
        <v>228079.96570603282</v>
      </c>
      <c r="E54" s="439">
        <f t="shared" si="2"/>
        <v>5415129.0349801304</v>
      </c>
      <c r="F54" s="463">
        <f t="shared" si="7"/>
        <v>917870.9650198681</v>
      </c>
      <c r="G54" s="439">
        <f t="shared" si="4"/>
        <v>1515870.9650198664</v>
      </c>
      <c r="H54" s="404">
        <f t="shared" si="1"/>
        <v>0.78129116072430105</v>
      </c>
      <c r="I54" s="463"/>
      <c r="J54" s="437"/>
    </row>
    <row r="55" spans="1:10" x14ac:dyDescent="0.25">
      <c r="A55" s="1">
        <v>38</v>
      </c>
      <c r="B55" s="1">
        <v>2061</v>
      </c>
      <c r="C55" s="439">
        <f>VLOOKUP(B55,Tons!$B$10:$G$130,6,FALSE)</f>
        <v>140518.53922639752</v>
      </c>
      <c r="D55" s="440">
        <f t="shared" si="0"/>
        <v>234197.56537732919</v>
      </c>
      <c r="E55" s="439">
        <f t="shared" si="2"/>
        <v>5649326.6003574599</v>
      </c>
      <c r="F55" s="463">
        <f t="shared" si="7"/>
        <v>683673.39964253898</v>
      </c>
      <c r="G55" s="439">
        <f t="shared" si="4"/>
        <v>1281673.3996425371</v>
      </c>
      <c r="H55" s="404">
        <f t="shared" si="1"/>
        <v>0.81508102732036647</v>
      </c>
      <c r="I55" s="463"/>
      <c r="J55" s="437"/>
    </row>
    <row r="56" spans="1:10" x14ac:dyDescent="0.25">
      <c r="A56" s="1">
        <v>39</v>
      </c>
      <c r="B56" s="1">
        <v>2062</v>
      </c>
      <c r="C56" s="439">
        <f>VLOOKUP(B56,Tons!$B$10:$G$130,6,FALSE)</f>
        <v>144295.34080888247</v>
      </c>
      <c r="D56" s="440">
        <f t="shared" si="0"/>
        <v>240492.23468147079</v>
      </c>
      <c r="E56" s="439">
        <f t="shared" si="2"/>
        <v>5889818.8350389302</v>
      </c>
      <c r="F56" s="463">
        <f t="shared" si="7"/>
        <v>443181.16496106819</v>
      </c>
      <c r="G56" s="439">
        <f t="shared" si="4"/>
        <v>1041181.1649610663</v>
      </c>
      <c r="H56" s="404">
        <f t="shared" si="1"/>
        <v>0.84977908455330109</v>
      </c>
      <c r="I56" s="463"/>
      <c r="J56" s="437"/>
    </row>
    <row r="57" spans="1:10" x14ac:dyDescent="0.25">
      <c r="A57" s="1">
        <v>40</v>
      </c>
      <c r="B57" s="1">
        <v>2063</v>
      </c>
      <c r="C57" s="439">
        <f>VLOOKUP(B57,Tons!$B$10:$G$130,6,FALSE)</f>
        <v>148181.57561473874</v>
      </c>
      <c r="D57" s="440">
        <f t="shared" si="0"/>
        <v>246969.29269123121</v>
      </c>
      <c r="E57" s="439">
        <f t="shared" si="2"/>
        <v>6136788.127730161</v>
      </c>
      <c r="F57" s="463">
        <f t="shared" si="7"/>
        <v>196211.87226983698</v>
      </c>
      <c r="G57" s="439">
        <f t="shared" si="4"/>
        <v>794211.87226983509</v>
      </c>
      <c r="H57" s="404">
        <f t="shared" si="1"/>
        <v>0.88541164734239808</v>
      </c>
      <c r="I57" s="463"/>
      <c r="J57" s="437"/>
    </row>
    <row r="58" spans="1:10" ht="13" x14ac:dyDescent="0.3">
      <c r="A58" s="1">
        <v>41</v>
      </c>
      <c r="B58" s="1">
        <v>2064</v>
      </c>
      <c r="C58" s="439">
        <f>VLOOKUP(B58,Tons!$B$10:$G$130,6,FALSE)</f>
        <v>152180.53381796819</v>
      </c>
      <c r="D58" s="440">
        <f t="shared" si="0"/>
        <v>253634.223029947</v>
      </c>
      <c r="E58" s="439">
        <f t="shared" si="2"/>
        <v>6390422.3507601079</v>
      </c>
      <c r="F58" s="464">
        <f>F57-D58+$F$14</f>
        <v>540577.64923989004</v>
      </c>
      <c r="G58" s="439">
        <f t="shared" si="4"/>
        <v>540577.64923988807</v>
      </c>
      <c r="H58" s="404">
        <f t="shared" si="1"/>
        <v>0.92200582178042245</v>
      </c>
      <c r="I58" s="465" t="s">
        <v>346</v>
      </c>
      <c r="J58" s="437"/>
    </row>
    <row r="59" spans="1:10" x14ac:dyDescent="0.25">
      <c r="A59" s="1">
        <v>42</v>
      </c>
      <c r="B59" s="1">
        <v>2065</v>
      </c>
      <c r="C59" s="439">
        <f>VLOOKUP(B59,Tons!$B$10:$G$130,6,FALSE)</f>
        <v>156295.6074583953</v>
      </c>
      <c r="D59" s="440">
        <f t="shared" si="0"/>
        <v>260492.67909732551</v>
      </c>
      <c r="E59" s="439">
        <f t="shared" si="2"/>
        <v>6650915.0298574334</v>
      </c>
      <c r="F59" s="465">
        <f t="shared" si="7"/>
        <v>280084.9701425645</v>
      </c>
      <c r="G59" s="439">
        <f t="shared" si="4"/>
        <v>280084.97014256252</v>
      </c>
      <c r="H59" s="404">
        <f t="shared" si="1"/>
        <v>0.95958952962883182</v>
      </c>
      <c r="J59" s="437"/>
    </row>
    <row r="60" spans="1:10" x14ac:dyDescent="0.25">
      <c r="A60" s="1">
        <v>43</v>
      </c>
      <c r="B60" s="1">
        <v>2066</v>
      </c>
      <c r="C60" s="439">
        <f>(F59/2000)*F6</f>
        <v>168050.98208553868</v>
      </c>
      <c r="D60" s="440">
        <f t="shared" si="0"/>
        <v>280084.9701425645</v>
      </c>
      <c r="E60" s="439">
        <f t="shared" si="2"/>
        <v>6930999.9999999981</v>
      </c>
      <c r="F60" s="465">
        <f t="shared" si="7"/>
        <v>0</v>
      </c>
      <c r="G60" s="439">
        <f t="shared" si="4"/>
        <v>-1.9790604710578918E-9</v>
      </c>
      <c r="H60" s="404">
        <f t="shared" si="1"/>
        <v>0.99999999999999978</v>
      </c>
      <c r="I60" s="463"/>
      <c r="J60" s="437"/>
    </row>
    <row r="61" spans="1:10" x14ac:dyDescent="0.25">
      <c r="D61" s="466"/>
      <c r="E61" s="467"/>
    </row>
    <row r="62" spans="1:10" x14ac:dyDescent="0.25">
      <c r="D62" s="466"/>
      <c r="E62" s="467"/>
    </row>
    <row r="63" spans="1:10" x14ac:dyDescent="0.25">
      <c r="D63" s="466"/>
      <c r="E63" s="467"/>
    </row>
    <row r="64" spans="1:10" x14ac:dyDescent="0.25">
      <c r="D64" s="466"/>
      <c r="E64" s="467"/>
    </row>
    <row r="65" spans="3:5" x14ac:dyDescent="0.25">
      <c r="D65" s="466"/>
      <c r="E65" s="467"/>
    </row>
    <row r="67" spans="3:5" x14ac:dyDescent="0.25">
      <c r="C67" s="418"/>
      <c r="D67" s="468"/>
      <c r="E67" s="467"/>
    </row>
    <row r="68" spans="3:5" x14ac:dyDescent="0.25">
      <c r="C68" s="437"/>
      <c r="D68" s="437"/>
      <c r="E68" s="469"/>
    </row>
  </sheetData>
  <sheetProtection algorithmName="SHA-512" hashValue="gVYCVpZIGsr10kR5wC/53egDj6QdZVv2YW21mG5FTuUhW1f++fmS41ZPbMHvIkDBbt/IqasCJJ6YqqhdYcZizQ==" saltValue="F9yL4ZOz0voMwxphgeDkSA==" spinCount="100000" sheet="1" objects="1" scenarios="1"/>
  <printOptions horizontalCentered="1"/>
  <pageMargins left="0.7" right="0.7" top="0.75" bottom="0.75" header="0.3" footer="0.3"/>
  <pageSetup scale="85" orientation="portrait" horizontalDpi="1200" verticalDpi="120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DC36C-8516-4949-8CDE-73A3CD439B89}">
  <sheetPr codeName="Sheet10">
    <tabColor theme="5" tint="0.79998168889431442"/>
  </sheetPr>
  <dimension ref="B3:G130"/>
  <sheetViews>
    <sheetView workbookViewId="0">
      <selection activeCell="L18" sqref="L18"/>
    </sheetView>
  </sheetViews>
  <sheetFormatPr defaultRowHeight="12.5" x14ac:dyDescent="0.25"/>
  <cols>
    <col min="1" max="1" width="9.1796875" style="2"/>
    <col min="2" max="2" width="14.54296875" style="2" bestFit="1" customWidth="1"/>
    <col min="3" max="3" width="14" style="2" bestFit="1" customWidth="1"/>
    <col min="4" max="5" width="14.453125" style="2" bestFit="1" customWidth="1"/>
    <col min="6" max="6" width="11.54296875" style="2" customWidth="1"/>
    <col min="7" max="7" width="14.81640625" style="40" bestFit="1" customWidth="1"/>
    <col min="8" max="254" width="9.1796875" style="2"/>
    <col min="255" max="255" width="14.54296875" style="2" bestFit="1" customWidth="1"/>
    <col min="256" max="256" width="27.453125" style="2" bestFit="1" customWidth="1"/>
    <col min="257" max="258" width="14.453125" style="2" bestFit="1" customWidth="1"/>
    <col min="259" max="259" width="14.81640625" style="2" bestFit="1" customWidth="1"/>
    <col min="260" max="260" width="9.1796875" style="2"/>
    <col min="261" max="261" width="11.54296875" style="2" customWidth="1"/>
    <col min="262" max="262" width="19" style="2" customWidth="1"/>
    <col min="263" max="510" width="9.1796875" style="2"/>
    <col min="511" max="511" width="14.54296875" style="2" bestFit="1" customWidth="1"/>
    <col min="512" max="512" width="27.453125" style="2" bestFit="1" customWidth="1"/>
    <col min="513" max="514" width="14.453125" style="2" bestFit="1" customWidth="1"/>
    <col min="515" max="515" width="14.81640625" style="2" bestFit="1" customWidth="1"/>
    <col min="516" max="516" width="9.1796875" style="2"/>
    <col min="517" max="517" width="11.54296875" style="2" customWidth="1"/>
    <col min="518" max="518" width="19" style="2" customWidth="1"/>
    <col min="519" max="766" width="9.1796875" style="2"/>
    <col min="767" max="767" width="14.54296875" style="2" bestFit="1" customWidth="1"/>
    <col min="768" max="768" width="27.453125" style="2" bestFit="1" customWidth="1"/>
    <col min="769" max="770" width="14.453125" style="2" bestFit="1" customWidth="1"/>
    <col min="771" max="771" width="14.81640625" style="2" bestFit="1" customWidth="1"/>
    <col min="772" max="772" width="9.1796875" style="2"/>
    <col min="773" max="773" width="11.54296875" style="2" customWidth="1"/>
    <col min="774" max="774" width="19" style="2" customWidth="1"/>
    <col min="775" max="1022" width="9.1796875" style="2"/>
    <col min="1023" max="1023" width="14.54296875" style="2" bestFit="1" customWidth="1"/>
    <col min="1024" max="1024" width="27.453125" style="2" bestFit="1" customWidth="1"/>
    <col min="1025" max="1026" width="14.453125" style="2" bestFit="1" customWidth="1"/>
    <col min="1027" max="1027" width="14.81640625" style="2" bestFit="1" customWidth="1"/>
    <col min="1028" max="1028" width="9.1796875" style="2"/>
    <col min="1029" max="1029" width="11.54296875" style="2" customWidth="1"/>
    <col min="1030" max="1030" width="19" style="2" customWidth="1"/>
    <col min="1031" max="1278" width="9.1796875" style="2"/>
    <col min="1279" max="1279" width="14.54296875" style="2" bestFit="1" customWidth="1"/>
    <col min="1280" max="1280" width="27.453125" style="2" bestFit="1" customWidth="1"/>
    <col min="1281" max="1282" width="14.453125" style="2" bestFit="1" customWidth="1"/>
    <col min="1283" max="1283" width="14.81640625" style="2" bestFit="1" customWidth="1"/>
    <col min="1284" max="1284" width="9.1796875" style="2"/>
    <col min="1285" max="1285" width="11.54296875" style="2" customWidth="1"/>
    <col min="1286" max="1286" width="19" style="2" customWidth="1"/>
    <col min="1287" max="1534" width="9.1796875" style="2"/>
    <col min="1535" max="1535" width="14.54296875" style="2" bestFit="1" customWidth="1"/>
    <col min="1536" max="1536" width="27.453125" style="2" bestFit="1" customWidth="1"/>
    <col min="1537" max="1538" width="14.453125" style="2" bestFit="1" customWidth="1"/>
    <col min="1539" max="1539" width="14.81640625" style="2" bestFit="1" customWidth="1"/>
    <col min="1540" max="1540" width="9.1796875" style="2"/>
    <col min="1541" max="1541" width="11.54296875" style="2" customWidth="1"/>
    <col min="1542" max="1542" width="19" style="2" customWidth="1"/>
    <col min="1543" max="1790" width="9.1796875" style="2"/>
    <col min="1791" max="1791" width="14.54296875" style="2" bestFit="1" customWidth="1"/>
    <col min="1792" max="1792" width="27.453125" style="2" bestFit="1" customWidth="1"/>
    <col min="1793" max="1794" width="14.453125" style="2" bestFit="1" customWidth="1"/>
    <col min="1795" max="1795" width="14.81640625" style="2" bestFit="1" customWidth="1"/>
    <col min="1796" max="1796" width="9.1796875" style="2"/>
    <col min="1797" max="1797" width="11.54296875" style="2" customWidth="1"/>
    <col min="1798" max="1798" width="19" style="2" customWidth="1"/>
    <col min="1799" max="2046" width="9.1796875" style="2"/>
    <col min="2047" max="2047" width="14.54296875" style="2" bestFit="1" customWidth="1"/>
    <col min="2048" max="2048" width="27.453125" style="2" bestFit="1" customWidth="1"/>
    <col min="2049" max="2050" width="14.453125" style="2" bestFit="1" customWidth="1"/>
    <col min="2051" max="2051" width="14.81640625" style="2" bestFit="1" customWidth="1"/>
    <col min="2052" max="2052" width="9.1796875" style="2"/>
    <col min="2053" max="2053" width="11.54296875" style="2" customWidth="1"/>
    <col min="2054" max="2054" width="19" style="2" customWidth="1"/>
    <col min="2055" max="2302" width="9.1796875" style="2"/>
    <col min="2303" max="2303" width="14.54296875" style="2" bestFit="1" customWidth="1"/>
    <col min="2304" max="2304" width="27.453125" style="2" bestFit="1" customWidth="1"/>
    <col min="2305" max="2306" width="14.453125" style="2" bestFit="1" customWidth="1"/>
    <col min="2307" max="2307" width="14.81640625" style="2" bestFit="1" customWidth="1"/>
    <col min="2308" max="2308" width="9.1796875" style="2"/>
    <col min="2309" max="2309" width="11.54296875" style="2" customWidth="1"/>
    <col min="2310" max="2310" width="19" style="2" customWidth="1"/>
    <col min="2311" max="2558" width="9.1796875" style="2"/>
    <col min="2559" max="2559" width="14.54296875" style="2" bestFit="1" customWidth="1"/>
    <col min="2560" max="2560" width="27.453125" style="2" bestFit="1" customWidth="1"/>
    <col min="2561" max="2562" width="14.453125" style="2" bestFit="1" customWidth="1"/>
    <col min="2563" max="2563" width="14.81640625" style="2" bestFit="1" customWidth="1"/>
    <col min="2564" max="2564" width="9.1796875" style="2"/>
    <col min="2565" max="2565" width="11.54296875" style="2" customWidth="1"/>
    <col min="2566" max="2566" width="19" style="2" customWidth="1"/>
    <col min="2567" max="2814" width="9.1796875" style="2"/>
    <col min="2815" max="2815" width="14.54296875" style="2" bestFit="1" customWidth="1"/>
    <col min="2816" max="2816" width="27.453125" style="2" bestFit="1" customWidth="1"/>
    <col min="2817" max="2818" width="14.453125" style="2" bestFit="1" customWidth="1"/>
    <col min="2819" max="2819" width="14.81640625" style="2" bestFit="1" customWidth="1"/>
    <col min="2820" max="2820" width="9.1796875" style="2"/>
    <col min="2821" max="2821" width="11.54296875" style="2" customWidth="1"/>
    <col min="2822" max="2822" width="19" style="2" customWidth="1"/>
    <col min="2823" max="3070" width="9.1796875" style="2"/>
    <col min="3071" max="3071" width="14.54296875" style="2" bestFit="1" customWidth="1"/>
    <col min="3072" max="3072" width="27.453125" style="2" bestFit="1" customWidth="1"/>
    <col min="3073" max="3074" width="14.453125" style="2" bestFit="1" customWidth="1"/>
    <col min="3075" max="3075" width="14.81640625" style="2" bestFit="1" customWidth="1"/>
    <col min="3076" max="3076" width="9.1796875" style="2"/>
    <col min="3077" max="3077" width="11.54296875" style="2" customWidth="1"/>
    <col min="3078" max="3078" width="19" style="2" customWidth="1"/>
    <col min="3079" max="3326" width="9.1796875" style="2"/>
    <col min="3327" max="3327" width="14.54296875" style="2" bestFit="1" customWidth="1"/>
    <col min="3328" max="3328" width="27.453125" style="2" bestFit="1" customWidth="1"/>
    <col min="3329" max="3330" width="14.453125" style="2" bestFit="1" customWidth="1"/>
    <col min="3331" max="3331" width="14.81640625" style="2" bestFit="1" customWidth="1"/>
    <col min="3332" max="3332" width="9.1796875" style="2"/>
    <col min="3333" max="3333" width="11.54296875" style="2" customWidth="1"/>
    <col min="3334" max="3334" width="19" style="2" customWidth="1"/>
    <col min="3335" max="3582" width="9.1796875" style="2"/>
    <col min="3583" max="3583" width="14.54296875" style="2" bestFit="1" customWidth="1"/>
    <col min="3584" max="3584" width="27.453125" style="2" bestFit="1" customWidth="1"/>
    <col min="3585" max="3586" width="14.453125" style="2" bestFit="1" customWidth="1"/>
    <col min="3587" max="3587" width="14.81640625" style="2" bestFit="1" customWidth="1"/>
    <col min="3588" max="3588" width="9.1796875" style="2"/>
    <col min="3589" max="3589" width="11.54296875" style="2" customWidth="1"/>
    <col min="3590" max="3590" width="19" style="2" customWidth="1"/>
    <col min="3591" max="3838" width="9.1796875" style="2"/>
    <col min="3839" max="3839" width="14.54296875" style="2" bestFit="1" customWidth="1"/>
    <col min="3840" max="3840" width="27.453125" style="2" bestFit="1" customWidth="1"/>
    <col min="3841" max="3842" width="14.453125" style="2" bestFit="1" customWidth="1"/>
    <col min="3843" max="3843" width="14.81640625" style="2" bestFit="1" customWidth="1"/>
    <col min="3844" max="3844" width="9.1796875" style="2"/>
    <col min="3845" max="3845" width="11.54296875" style="2" customWidth="1"/>
    <col min="3846" max="3846" width="19" style="2" customWidth="1"/>
    <col min="3847" max="4094" width="9.1796875" style="2"/>
    <col min="4095" max="4095" width="14.54296875" style="2" bestFit="1" customWidth="1"/>
    <col min="4096" max="4096" width="27.453125" style="2" bestFit="1" customWidth="1"/>
    <col min="4097" max="4098" width="14.453125" style="2" bestFit="1" customWidth="1"/>
    <col min="4099" max="4099" width="14.81640625" style="2" bestFit="1" customWidth="1"/>
    <col min="4100" max="4100" width="9.1796875" style="2"/>
    <col min="4101" max="4101" width="11.54296875" style="2" customWidth="1"/>
    <col min="4102" max="4102" width="19" style="2" customWidth="1"/>
    <col min="4103" max="4350" width="9.1796875" style="2"/>
    <col min="4351" max="4351" width="14.54296875" style="2" bestFit="1" customWidth="1"/>
    <col min="4352" max="4352" width="27.453125" style="2" bestFit="1" customWidth="1"/>
    <col min="4353" max="4354" width="14.453125" style="2" bestFit="1" customWidth="1"/>
    <col min="4355" max="4355" width="14.81640625" style="2" bestFit="1" customWidth="1"/>
    <col min="4356" max="4356" width="9.1796875" style="2"/>
    <col min="4357" max="4357" width="11.54296875" style="2" customWidth="1"/>
    <col min="4358" max="4358" width="19" style="2" customWidth="1"/>
    <col min="4359" max="4606" width="9.1796875" style="2"/>
    <col min="4607" max="4607" width="14.54296875" style="2" bestFit="1" customWidth="1"/>
    <col min="4608" max="4608" width="27.453125" style="2" bestFit="1" customWidth="1"/>
    <col min="4609" max="4610" width="14.453125" style="2" bestFit="1" customWidth="1"/>
    <col min="4611" max="4611" width="14.81640625" style="2" bestFit="1" customWidth="1"/>
    <col min="4612" max="4612" width="9.1796875" style="2"/>
    <col min="4613" max="4613" width="11.54296875" style="2" customWidth="1"/>
    <col min="4614" max="4614" width="19" style="2" customWidth="1"/>
    <col min="4615" max="4862" width="9.1796875" style="2"/>
    <col min="4863" max="4863" width="14.54296875" style="2" bestFit="1" customWidth="1"/>
    <col min="4864" max="4864" width="27.453125" style="2" bestFit="1" customWidth="1"/>
    <col min="4865" max="4866" width="14.453125" style="2" bestFit="1" customWidth="1"/>
    <col min="4867" max="4867" width="14.81640625" style="2" bestFit="1" customWidth="1"/>
    <col min="4868" max="4868" width="9.1796875" style="2"/>
    <col min="4869" max="4869" width="11.54296875" style="2" customWidth="1"/>
    <col min="4870" max="4870" width="19" style="2" customWidth="1"/>
    <col min="4871" max="5118" width="9.1796875" style="2"/>
    <col min="5119" max="5119" width="14.54296875" style="2" bestFit="1" customWidth="1"/>
    <col min="5120" max="5120" width="27.453125" style="2" bestFit="1" customWidth="1"/>
    <col min="5121" max="5122" width="14.453125" style="2" bestFit="1" customWidth="1"/>
    <col min="5123" max="5123" width="14.81640625" style="2" bestFit="1" customWidth="1"/>
    <col min="5124" max="5124" width="9.1796875" style="2"/>
    <col min="5125" max="5125" width="11.54296875" style="2" customWidth="1"/>
    <col min="5126" max="5126" width="19" style="2" customWidth="1"/>
    <col min="5127" max="5374" width="9.1796875" style="2"/>
    <col min="5375" max="5375" width="14.54296875" style="2" bestFit="1" customWidth="1"/>
    <col min="5376" max="5376" width="27.453125" style="2" bestFit="1" customWidth="1"/>
    <col min="5377" max="5378" width="14.453125" style="2" bestFit="1" customWidth="1"/>
    <col min="5379" max="5379" width="14.81640625" style="2" bestFit="1" customWidth="1"/>
    <col min="5380" max="5380" width="9.1796875" style="2"/>
    <col min="5381" max="5381" width="11.54296875" style="2" customWidth="1"/>
    <col min="5382" max="5382" width="19" style="2" customWidth="1"/>
    <col min="5383" max="5630" width="9.1796875" style="2"/>
    <col min="5631" max="5631" width="14.54296875" style="2" bestFit="1" customWidth="1"/>
    <col min="5632" max="5632" width="27.453125" style="2" bestFit="1" customWidth="1"/>
    <col min="5633" max="5634" width="14.453125" style="2" bestFit="1" customWidth="1"/>
    <col min="5635" max="5635" width="14.81640625" style="2" bestFit="1" customWidth="1"/>
    <col min="5636" max="5636" width="9.1796875" style="2"/>
    <col min="5637" max="5637" width="11.54296875" style="2" customWidth="1"/>
    <col min="5638" max="5638" width="19" style="2" customWidth="1"/>
    <col min="5639" max="5886" width="9.1796875" style="2"/>
    <col min="5887" max="5887" width="14.54296875" style="2" bestFit="1" customWidth="1"/>
    <col min="5888" max="5888" width="27.453125" style="2" bestFit="1" customWidth="1"/>
    <col min="5889" max="5890" width="14.453125" style="2" bestFit="1" customWidth="1"/>
    <col min="5891" max="5891" width="14.81640625" style="2" bestFit="1" customWidth="1"/>
    <col min="5892" max="5892" width="9.1796875" style="2"/>
    <col min="5893" max="5893" width="11.54296875" style="2" customWidth="1"/>
    <col min="5894" max="5894" width="19" style="2" customWidth="1"/>
    <col min="5895" max="6142" width="9.1796875" style="2"/>
    <col min="6143" max="6143" width="14.54296875" style="2" bestFit="1" customWidth="1"/>
    <col min="6144" max="6144" width="27.453125" style="2" bestFit="1" customWidth="1"/>
    <col min="6145" max="6146" width="14.453125" style="2" bestFit="1" customWidth="1"/>
    <col min="6147" max="6147" width="14.81640625" style="2" bestFit="1" customWidth="1"/>
    <col min="6148" max="6148" width="9.1796875" style="2"/>
    <col min="6149" max="6149" width="11.54296875" style="2" customWidth="1"/>
    <col min="6150" max="6150" width="19" style="2" customWidth="1"/>
    <col min="6151" max="6398" width="9.1796875" style="2"/>
    <col min="6399" max="6399" width="14.54296875" style="2" bestFit="1" customWidth="1"/>
    <col min="6400" max="6400" width="27.453125" style="2" bestFit="1" customWidth="1"/>
    <col min="6401" max="6402" width="14.453125" style="2" bestFit="1" customWidth="1"/>
    <col min="6403" max="6403" width="14.81640625" style="2" bestFit="1" customWidth="1"/>
    <col min="6404" max="6404" width="9.1796875" style="2"/>
    <col min="6405" max="6405" width="11.54296875" style="2" customWidth="1"/>
    <col min="6406" max="6406" width="19" style="2" customWidth="1"/>
    <col min="6407" max="6654" width="9.1796875" style="2"/>
    <col min="6655" max="6655" width="14.54296875" style="2" bestFit="1" customWidth="1"/>
    <col min="6656" max="6656" width="27.453125" style="2" bestFit="1" customWidth="1"/>
    <col min="6657" max="6658" width="14.453125" style="2" bestFit="1" customWidth="1"/>
    <col min="6659" max="6659" width="14.81640625" style="2" bestFit="1" customWidth="1"/>
    <col min="6660" max="6660" width="9.1796875" style="2"/>
    <col min="6661" max="6661" width="11.54296875" style="2" customWidth="1"/>
    <col min="6662" max="6662" width="19" style="2" customWidth="1"/>
    <col min="6663" max="6910" width="9.1796875" style="2"/>
    <col min="6911" max="6911" width="14.54296875" style="2" bestFit="1" customWidth="1"/>
    <col min="6912" max="6912" width="27.453125" style="2" bestFit="1" customWidth="1"/>
    <col min="6913" max="6914" width="14.453125" style="2" bestFit="1" customWidth="1"/>
    <col min="6915" max="6915" width="14.81640625" style="2" bestFit="1" customWidth="1"/>
    <col min="6916" max="6916" width="9.1796875" style="2"/>
    <col min="6917" max="6917" width="11.54296875" style="2" customWidth="1"/>
    <col min="6918" max="6918" width="19" style="2" customWidth="1"/>
    <col min="6919" max="7166" width="9.1796875" style="2"/>
    <col min="7167" max="7167" width="14.54296875" style="2" bestFit="1" customWidth="1"/>
    <col min="7168" max="7168" width="27.453125" style="2" bestFit="1" customWidth="1"/>
    <col min="7169" max="7170" width="14.453125" style="2" bestFit="1" customWidth="1"/>
    <col min="7171" max="7171" width="14.81640625" style="2" bestFit="1" customWidth="1"/>
    <col min="7172" max="7172" width="9.1796875" style="2"/>
    <col min="7173" max="7173" width="11.54296875" style="2" customWidth="1"/>
    <col min="7174" max="7174" width="19" style="2" customWidth="1"/>
    <col min="7175" max="7422" width="9.1796875" style="2"/>
    <col min="7423" max="7423" width="14.54296875" style="2" bestFit="1" customWidth="1"/>
    <col min="7424" max="7424" width="27.453125" style="2" bestFit="1" customWidth="1"/>
    <col min="7425" max="7426" width="14.453125" style="2" bestFit="1" customWidth="1"/>
    <col min="7427" max="7427" width="14.81640625" style="2" bestFit="1" customWidth="1"/>
    <col min="7428" max="7428" width="9.1796875" style="2"/>
    <col min="7429" max="7429" width="11.54296875" style="2" customWidth="1"/>
    <col min="7430" max="7430" width="19" style="2" customWidth="1"/>
    <col min="7431" max="7678" width="9.1796875" style="2"/>
    <col min="7679" max="7679" width="14.54296875" style="2" bestFit="1" customWidth="1"/>
    <col min="7680" max="7680" width="27.453125" style="2" bestFit="1" customWidth="1"/>
    <col min="7681" max="7682" width="14.453125" style="2" bestFit="1" customWidth="1"/>
    <col min="7683" max="7683" width="14.81640625" style="2" bestFit="1" customWidth="1"/>
    <col min="7684" max="7684" width="9.1796875" style="2"/>
    <col min="7685" max="7685" width="11.54296875" style="2" customWidth="1"/>
    <col min="7686" max="7686" width="19" style="2" customWidth="1"/>
    <col min="7687" max="7934" width="9.1796875" style="2"/>
    <col min="7935" max="7935" width="14.54296875" style="2" bestFit="1" customWidth="1"/>
    <col min="7936" max="7936" width="27.453125" style="2" bestFit="1" customWidth="1"/>
    <col min="7937" max="7938" width="14.453125" style="2" bestFit="1" customWidth="1"/>
    <col min="7939" max="7939" width="14.81640625" style="2" bestFit="1" customWidth="1"/>
    <col min="7940" max="7940" width="9.1796875" style="2"/>
    <col min="7941" max="7941" width="11.54296875" style="2" customWidth="1"/>
    <col min="7942" max="7942" width="19" style="2" customWidth="1"/>
    <col min="7943" max="8190" width="9.1796875" style="2"/>
    <col min="8191" max="8191" width="14.54296875" style="2" bestFit="1" customWidth="1"/>
    <col min="8192" max="8192" width="27.453125" style="2" bestFit="1" customWidth="1"/>
    <col min="8193" max="8194" width="14.453125" style="2" bestFit="1" customWidth="1"/>
    <col min="8195" max="8195" width="14.81640625" style="2" bestFit="1" customWidth="1"/>
    <col min="8196" max="8196" width="9.1796875" style="2"/>
    <col min="8197" max="8197" width="11.54296875" style="2" customWidth="1"/>
    <col min="8198" max="8198" width="19" style="2" customWidth="1"/>
    <col min="8199" max="8446" width="9.1796875" style="2"/>
    <col min="8447" max="8447" width="14.54296875" style="2" bestFit="1" customWidth="1"/>
    <col min="8448" max="8448" width="27.453125" style="2" bestFit="1" customWidth="1"/>
    <col min="8449" max="8450" width="14.453125" style="2" bestFit="1" customWidth="1"/>
    <col min="8451" max="8451" width="14.81640625" style="2" bestFit="1" customWidth="1"/>
    <col min="8452" max="8452" width="9.1796875" style="2"/>
    <col min="8453" max="8453" width="11.54296875" style="2" customWidth="1"/>
    <col min="8454" max="8454" width="19" style="2" customWidth="1"/>
    <col min="8455" max="8702" width="9.1796875" style="2"/>
    <col min="8703" max="8703" width="14.54296875" style="2" bestFit="1" customWidth="1"/>
    <col min="8704" max="8704" width="27.453125" style="2" bestFit="1" customWidth="1"/>
    <col min="8705" max="8706" width="14.453125" style="2" bestFit="1" customWidth="1"/>
    <col min="8707" max="8707" width="14.81640625" style="2" bestFit="1" customWidth="1"/>
    <col min="8708" max="8708" width="9.1796875" style="2"/>
    <col min="8709" max="8709" width="11.54296875" style="2" customWidth="1"/>
    <col min="8710" max="8710" width="19" style="2" customWidth="1"/>
    <col min="8711" max="8958" width="9.1796875" style="2"/>
    <col min="8959" max="8959" width="14.54296875" style="2" bestFit="1" customWidth="1"/>
    <col min="8960" max="8960" width="27.453125" style="2" bestFit="1" customWidth="1"/>
    <col min="8961" max="8962" width="14.453125" style="2" bestFit="1" customWidth="1"/>
    <col min="8963" max="8963" width="14.81640625" style="2" bestFit="1" customWidth="1"/>
    <col min="8964" max="8964" width="9.1796875" style="2"/>
    <col min="8965" max="8965" width="11.54296875" style="2" customWidth="1"/>
    <col min="8966" max="8966" width="19" style="2" customWidth="1"/>
    <col min="8967" max="9214" width="9.1796875" style="2"/>
    <col min="9215" max="9215" width="14.54296875" style="2" bestFit="1" customWidth="1"/>
    <col min="9216" max="9216" width="27.453125" style="2" bestFit="1" customWidth="1"/>
    <col min="9217" max="9218" width="14.453125" style="2" bestFit="1" customWidth="1"/>
    <col min="9219" max="9219" width="14.81640625" style="2" bestFit="1" customWidth="1"/>
    <col min="9220" max="9220" width="9.1796875" style="2"/>
    <col min="9221" max="9221" width="11.54296875" style="2" customWidth="1"/>
    <col min="9222" max="9222" width="19" style="2" customWidth="1"/>
    <col min="9223" max="9470" width="9.1796875" style="2"/>
    <col min="9471" max="9471" width="14.54296875" style="2" bestFit="1" customWidth="1"/>
    <col min="9472" max="9472" width="27.453125" style="2" bestFit="1" customWidth="1"/>
    <col min="9473" max="9474" width="14.453125" style="2" bestFit="1" customWidth="1"/>
    <col min="9475" max="9475" width="14.81640625" style="2" bestFit="1" customWidth="1"/>
    <col min="9476" max="9476" width="9.1796875" style="2"/>
    <col min="9477" max="9477" width="11.54296875" style="2" customWidth="1"/>
    <col min="9478" max="9478" width="19" style="2" customWidth="1"/>
    <col min="9479" max="9726" width="9.1796875" style="2"/>
    <col min="9727" max="9727" width="14.54296875" style="2" bestFit="1" customWidth="1"/>
    <col min="9728" max="9728" width="27.453125" style="2" bestFit="1" customWidth="1"/>
    <col min="9729" max="9730" width="14.453125" style="2" bestFit="1" customWidth="1"/>
    <col min="9731" max="9731" width="14.81640625" style="2" bestFit="1" customWidth="1"/>
    <col min="9732" max="9732" width="9.1796875" style="2"/>
    <col min="9733" max="9733" width="11.54296875" style="2" customWidth="1"/>
    <col min="9734" max="9734" width="19" style="2" customWidth="1"/>
    <col min="9735" max="9982" width="9.1796875" style="2"/>
    <col min="9983" max="9983" width="14.54296875" style="2" bestFit="1" customWidth="1"/>
    <col min="9984" max="9984" width="27.453125" style="2" bestFit="1" customWidth="1"/>
    <col min="9985" max="9986" width="14.453125" style="2" bestFit="1" customWidth="1"/>
    <col min="9987" max="9987" width="14.81640625" style="2" bestFit="1" customWidth="1"/>
    <col min="9988" max="9988" width="9.1796875" style="2"/>
    <col min="9989" max="9989" width="11.54296875" style="2" customWidth="1"/>
    <col min="9990" max="9990" width="19" style="2" customWidth="1"/>
    <col min="9991" max="10238" width="9.1796875" style="2"/>
    <col min="10239" max="10239" width="14.54296875" style="2" bestFit="1" customWidth="1"/>
    <col min="10240" max="10240" width="27.453125" style="2" bestFit="1" customWidth="1"/>
    <col min="10241" max="10242" width="14.453125" style="2" bestFit="1" customWidth="1"/>
    <col min="10243" max="10243" width="14.81640625" style="2" bestFit="1" customWidth="1"/>
    <col min="10244" max="10244" width="9.1796875" style="2"/>
    <col min="10245" max="10245" width="11.54296875" style="2" customWidth="1"/>
    <col min="10246" max="10246" width="19" style="2" customWidth="1"/>
    <col min="10247" max="10494" width="9.1796875" style="2"/>
    <col min="10495" max="10495" width="14.54296875" style="2" bestFit="1" customWidth="1"/>
    <col min="10496" max="10496" width="27.453125" style="2" bestFit="1" customWidth="1"/>
    <col min="10497" max="10498" width="14.453125" style="2" bestFit="1" customWidth="1"/>
    <col min="10499" max="10499" width="14.81640625" style="2" bestFit="1" customWidth="1"/>
    <col min="10500" max="10500" width="9.1796875" style="2"/>
    <col min="10501" max="10501" width="11.54296875" style="2" customWidth="1"/>
    <col min="10502" max="10502" width="19" style="2" customWidth="1"/>
    <col min="10503" max="10750" width="9.1796875" style="2"/>
    <col min="10751" max="10751" width="14.54296875" style="2" bestFit="1" customWidth="1"/>
    <col min="10752" max="10752" width="27.453125" style="2" bestFit="1" customWidth="1"/>
    <col min="10753" max="10754" width="14.453125" style="2" bestFit="1" customWidth="1"/>
    <col min="10755" max="10755" width="14.81640625" style="2" bestFit="1" customWidth="1"/>
    <col min="10756" max="10756" width="9.1796875" style="2"/>
    <col min="10757" max="10757" width="11.54296875" style="2" customWidth="1"/>
    <col min="10758" max="10758" width="19" style="2" customWidth="1"/>
    <col min="10759" max="11006" width="9.1796875" style="2"/>
    <col min="11007" max="11007" width="14.54296875" style="2" bestFit="1" customWidth="1"/>
    <col min="11008" max="11008" width="27.453125" style="2" bestFit="1" customWidth="1"/>
    <col min="11009" max="11010" width="14.453125" style="2" bestFit="1" customWidth="1"/>
    <col min="11011" max="11011" width="14.81640625" style="2" bestFit="1" customWidth="1"/>
    <col min="11012" max="11012" width="9.1796875" style="2"/>
    <col min="11013" max="11013" width="11.54296875" style="2" customWidth="1"/>
    <col min="11014" max="11014" width="19" style="2" customWidth="1"/>
    <col min="11015" max="11262" width="9.1796875" style="2"/>
    <col min="11263" max="11263" width="14.54296875" style="2" bestFit="1" customWidth="1"/>
    <col min="11264" max="11264" width="27.453125" style="2" bestFit="1" customWidth="1"/>
    <col min="11265" max="11266" width="14.453125" style="2" bestFit="1" customWidth="1"/>
    <col min="11267" max="11267" width="14.81640625" style="2" bestFit="1" customWidth="1"/>
    <col min="11268" max="11268" width="9.1796875" style="2"/>
    <col min="11269" max="11269" width="11.54296875" style="2" customWidth="1"/>
    <col min="11270" max="11270" width="19" style="2" customWidth="1"/>
    <col min="11271" max="11518" width="9.1796875" style="2"/>
    <col min="11519" max="11519" width="14.54296875" style="2" bestFit="1" customWidth="1"/>
    <col min="11520" max="11520" width="27.453125" style="2" bestFit="1" customWidth="1"/>
    <col min="11521" max="11522" width="14.453125" style="2" bestFit="1" customWidth="1"/>
    <col min="11523" max="11523" width="14.81640625" style="2" bestFit="1" customWidth="1"/>
    <col min="11524" max="11524" width="9.1796875" style="2"/>
    <col min="11525" max="11525" width="11.54296875" style="2" customWidth="1"/>
    <col min="11526" max="11526" width="19" style="2" customWidth="1"/>
    <col min="11527" max="11774" width="9.1796875" style="2"/>
    <col min="11775" max="11775" width="14.54296875" style="2" bestFit="1" customWidth="1"/>
    <col min="11776" max="11776" width="27.453125" style="2" bestFit="1" customWidth="1"/>
    <col min="11777" max="11778" width="14.453125" style="2" bestFit="1" customWidth="1"/>
    <col min="11779" max="11779" width="14.81640625" style="2" bestFit="1" customWidth="1"/>
    <col min="11780" max="11780" width="9.1796875" style="2"/>
    <col min="11781" max="11781" width="11.54296875" style="2" customWidth="1"/>
    <col min="11782" max="11782" width="19" style="2" customWidth="1"/>
    <col min="11783" max="12030" width="9.1796875" style="2"/>
    <col min="12031" max="12031" width="14.54296875" style="2" bestFit="1" customWidth="1"/>
    <col min="12032" max="12032" width="27.453125" style="2" bestFit="1" customWidth="1"/>
    <col min="12033" max="12034" width="14.453125" style="2" bestFit="1" customWidth="1"/>
    <col min="12035" max="12035" width="14.81640625" style="2" bestFit="1" customWidth="1"/>
    <col min="12036" max="12036" width="9.1796875" style="2"/>
    <col min="12037" max="12037" width="11.54296875" style="2" customWidth="1"/>
    <col min="12038" max="12038" width="19" style="2" customWidth="1"/>
    <col min="12039" max="12286" width="9.1796875" style="2"/>
    <col min="12287" max="12287" width="14.54296875" style="2" bestFit="1" customWidth="1"/>
    <col min="12288" max="12288" width="27.453125" style="2" bestFit="1" customWidth="1"/>
    <col min="12289" max="12290" width="14.453125" style="2" bestFit="1" customWidth="1"/>
    <col min="12291" max="12291" width="14.81640625" style="2" bestFit="1" customWidth="1"/>
    <col min="12292" max="12292" width="9.1796875" style="2"/>
    <col min="12293" max="12293" width="11.54296875" style="2" customWidth="1"/>
    <col min="12294" max="12294" width="19" style="2" customWidth="1"/>
    <col min="12295" max="12542" width="9.1796875" style="2"/>
    <col min="12543" max="12543" width="14.54296875" style="2" bestFit="1" customWidth="1"/>
    <col min="12544" max="12544" width="27.453125" style="2" bestFit="1" customWidth="1"/>
    <col min="12545" max="12546" width="14.453125" style="2" bestFit="1" customWidth="1"/>
    <col min="12547" max="12547" width="14.81640625" style="2" bestFit="1" customWidth="1"/>
    <col min="12548" max="12548" width="9.1796875" style="2"/>
    <col min="12549" max="12549" width="11.54296875" style="2" customWidth="1"/>
    <col min="12550" max="12550" width="19" style="2" customWidth="1"/>
    <col min="12551" max="12798" width="9.1796875" style="2"/>
    <col min="12799" max="12799" width="14.54296875" style="2" bestFit="1" customWidth="1"/>
    <col min="12800" max="12800" width="27.453125" style="2" bestFit="1" customWidth="1"/>
    <col min="12801" max="12802" width="14.453125" style="2" bestFit="1" customWidth="1"/>
    <col min="12803" max="12803" width="14.81640625" style="2" bestFit="1" customWidth="1"/>
    <col min="12804" max="12804" width="9.1796875" style="2"/>
    <col min="12805" max="12805" width="11.54296875" style="2" customWidth="1"/>
    <col min="12806" max="12806" width="19" style="2" customWidth="1"/>
    <col min="12807" max="13054" width="9.1796875" style="2"/>
    <col min="13055" max="13055" width="14.54296875" style="2" bestFit="1" customWidth="1"/>
    <col min="13056" max="13056" width="27.453125" style="2" bestFit="1" customWidth="1"/>
    <col min="13057" max="13058" width="14.453125" style="2" bestFit="1" customWidth="1"/>
    <col min="13059" max="13059" width="14.81640625" style="2" bestFit="1" customWidth="1"/>
    <col min="13060" max="13060" width="9.1796875" style="2"/>
    <col min="13061" max="13061" width="11.54296875" style="2" customWidth="1"/>
    <col min="13062" max="13062" width="19" style="2" customWidth="1"/>
    <col min="13063" max="13310" width="9.1796875" style="2"/>
    <col min="13311" max="13311" width="14.54296875" style="2" bestFit="1" customWidth="1"/>
    <col min="13312" max="13312" width="27.453125" style="2" bestFit="1" customWidth="1"/>
    <col min="13313" max="13314" width="14.453125" style="2" bestFit="1" customWidth="1"/>
    <col min="13315" max="13315" width="14.81640625" style="2" bestFit="1" customWidth="1"/>
    <col min="13316" max="13316" width="9.1796875" style="2"/>
    <col min="13317" max="13317" width="11.54296875" style="2" customWidth="1"/>
    <col min="13318" max="13318" width="19" style="2" customWidth="1"/>
    <col min="13319" max="13566" width="9.1796875" style="2"/>
    <col min="13567" max="13567" width="14.54296875" style="2" bestFit="1" customWidth="1"/>
    <col min="13568" max="13568" width="27.453125" style="2" bestFit="1" customWidth="1"/>
    <col min="13569" max="13570" width="14.453125" style="2" bestFit="1" customWidth="1"/>
    <col min="13571" max="13571" width="14.81640625" style="2" bestFit="1" customWidth="1"/>
    <col min="13572" max="13572" width="9.1796875" style="2"/>
    <col min="13573" max="13573" width="11.54296875" style="2" customWidth="1"/>
    <col min="13574" max="13574" width="19" style="2" customWidth="1"/>
    <col min="13575" max="13822" width="9.1796875" style="2"/>
    <col min="13823" max="13823" width="14.54296875" style="2" bestFit="1" customWidth="1"/>
    <col min="13824" max="13824" width="27.453125" style="2" bestFit="1" customWidth="1"/>
    <col min="13825" max="13826" width="14.453125" style="2" bestFit="1" customWidth="1"/>
    <col min="13827" max="13827" width="14.81640625" style="2" bestFit="1" customWidth="1"/>
    <col min="13828" max="13828" width="9.1796875" style="2"/>
    <col min="13829" max="13829" width="11.54296875" style="2" customWidth="1"/>
    <col min="13830" max="13830" width="19" style="2" customWidth="1"/>
    <col min="13831" max="14078" width="9.1796875" style="2"/>
    <col min="14079" max="14079" width="14.54296875" style="2" bestFit="1" customWidth="1"/>
    <col min="14080" max="14080" width="27.453125" style="2" bestFit="1" customWidth="1"/>
    <col min="14081" max="14082" width="14.453125" style="2" bestFit="1" customWidth="1"/>
    <col min="14083" max="14083" width="14.81640625" style="2" bestFit="1" customWidth="1"/>
    <col min="14084" max="14084" width="9.1796875" style="2"/>
    <col min="14085" max="14085" width="11.54296875" style="2" customWidth="1"/>
    <col min="14086" max="14086" width="19" style="2" customWidth="1"/>
    <col min="14087" max="14334" width="9.1796875" style="2"/>
    <col min="14335" max="14335" width="14.54296875" style="2" bestFit="1" customWidth="1"/>
    <col min="14336" max="14336" width="27.453125" style="2" bestFit="1" customWidth="1"/>
    <col min="14337" max="14338" width="14.453125" style="2" bestFit="1" customWidth="1"/>
    <col min="14339" max="14339" width="14.81640625" style="2" bestFit="1" customWidth="1"/>
    <col min="14340" max="14340" width="9.1796875" style="2"/>
    <col min="14341" max="14341" width="11.54296875" style="2" customWidth="1"/>
    <col min="14342" max="14342" width="19" style="2" customWidth="1"/>
    <col min="14343" max="14590" width="9.1796875" style="2"/>
    <col min="14591" max="14591" width="14.54296875" style="2" bestFit="1" customWidth="1"/>
    <col min="14592" max="14592" width="27.453125" style="2" bestFit="1" customWidth="1"/>
    <col min="14593" max="14594" width="14.453125" style="2" bestFit="1" customWidth="1"/>
    <col min="14595" max="14595" width="14.81640625" style="2" bestFit="1" customWidth="1"/>
    <col min="14596" max="14596" width="9.1796875" style="2"/>
    <col min="14597" max="14597" width="11.54296875" style="2" customWidth="1"/>
    <col min="14598" max="14598" width="19" style="2" customWidth="1"/>
    <col min="14599" max="14846" width="9.1796875" style="2"/>
    <col min="14847" max="14847" width="14.54296875" style="2" bestFit="1" customWidth="1"/>
    <col min="14848" max="14848" width="27.453125" style="2" bestFit="1" customWidth="1"/>
    <col min="14849" max="14850" width="14.453125" style="2" bestFit="1" customWidth="1"/>
    <col min="14851" max="14851" width="14.81640625" style="2" bestFit="1" customWidth="1"/>
    <col min="14852" max="14852" width="9.1796875" style="2"/>
    <col min="14853" max="14853" width="11.54296875" style="2" customWidth="1"/>
    <col min="14854" max="14854" width="19" style="2" customWidth="1"/>
    <col min="14855" max="15102" width="9.1796875" style="2"/>
    <col min="15103" max="15103" width="14.54296875" style="2" bestFit="1" customWidth="1"/>
    <col min="15104" max="15104" width="27.453125" style="2" bestFit="1" customWidth="1"/>
    <col min="15105" max="15106" width="14.453125" style="2" bestFit="1" customWidth="1"/>
    <col min="15107" max="15107" width="14.81640625" style="2" bestFit="1" customWidth="1"/>
    <col min="15108" max="15108" width="9.1796875" style="2"/>
    <col min="15109" max="15109" width="11.54296875" style="2" customWidth="1"/>
    <col min="15110" max="15110" width="19" style="2" customWidth="1"/>
    <col min="15111" max="15358" width="9.1796875" style="2"/>
    <col min="15359" max="15359" width="14.54296875" style="2" bestFit="1" customWidth="1"/>
    <col min="15360" max="15360" width="27.453125" style="2" bestFit="1" customWidth="1"/>
    <col min="15361" max="15362" width="14.453125" style="2" bestFit="1" customWidth="1"/>
    <col min="15363" max="15363" width="14.81640625" style="2" bestFit="1" customWidth="1"/>
    <col min="15364" max="15364" width="9.1796875" style="2"/>
    <col min="15365" max="15365" width="11.54296875" style="2" customWidth="1"/>
    <col min="15366" max="15366" width="19" style="2" customWidth="1"/>
    <col min="15367" max="15614" width="9.1796875" style="2"/>
    <col min="15615" max="15615" width="14.54296875" style="2" bestFit="1" customWidth="1"/>
    <col min="15616" max="15616" width="27.453125" style="2" bestFit="1" customWidth="1"/>
    <col min="15617" max="15618" width="14.453125" style="2" bestFit="1" customWidth="1"/>
    <col min="15619" max="15619" width="14.81640625" style="2" bestFit="1" customWidth="1"/>
    <col min="15620" max="15620" width="9.1796875" style="2"/>
    <col min="15621" max="15621" width="11.54296875" style="2" customWidth="1"/>
    <col min="15622" max="15622" width="19" style="2" customWidth="1"/>
    <col min="15623" max="15870" width="9.1796875" style="2"/>
    <col min="15871" max="15871" width="14.54296875" style="2" bestFit="1" customWidth="1"/>
    <col min="15872" max="15872" width="27.453125" style="2" bestFit="1" customWidth="1"/>
    <col min="15873" max="15874" width="14.453125" style="2" bestFit="1" customWidth="1"/>
    <col min="15875" max="15875" width="14.81640625" style="2" bestFit="1" customWidth="1"/>
    <col min="15876" max="15876" width="9.1796875" style="2"/>
    <col min="15877" max="15877" width="11.54296875" style="2" customWidth="1"/>
    <col min="15878" max="15878" width="19" style="2" customWidth="1"/>
    <col min="15879" max="16126" width="9.1796875" style="2"/>
    <col min="16127" max="16127" width="14.54296875" style="2" bestFit="1" customWidth="1"/>
    <col min="16128" max="16128" width="27.453125" style="2" bestFit="1" customWidth="1"/>
    <col min="16129" max="16130" width="14.453125" style="2" bestFit="1" customWidth="1"/>
    <col min="16131" max="16131" width="14.81640625" style="2" bestFit="1" customWidth="1"/>
    <col min="16132" max="16132" width="9.1796875" style="2"/>
    <col min="16133" max="16133" width="11.54296875" style="2" customWidth="1"/>
    <col min="16134" max="16134" width="19" style="2" customWidth="1"/>
    <col min="16135" max="16384" width="9.1796875" style="2"/>
  </cols>
  <sheetData>
    <row r="3" spans="2:7" ht="25" x14ac:dyDescent="0.25">
      <c r="B3" s="42"/>
      <c r="C3" s="471" t="s">
        <v>361</v>
      </c>
      <c r="D3" s="38" t="s">
        <v>45</v>
      </c>
      <c r="E3" s="36" t="s">
        <v>46</v>
      </c>
    </row>
    <row r="4" spans="2:7" x14ac:dyDescent="0.25">
      <c r="B4" s="42" t="s">
        <v>47</v>
      </c>
      <c r="C4" s="394">
        <v>2.53E-2</v>
      </c>
      <c r="D4" s="37">
        <v>52913</v>
      </c>
      <c r="E4" s="38">
        <v>3.31</v>
      </c>
    </row>
    <row r="5" spans="2:7" x14ac:dyDescent="0.25">
      <c r="B5" s="42" t="s">
        <v>48</v>
      </c>
      <c r="C5" s="394">
        <v>5.4000000000000003E-3</v>
      </c>
      <c r="D5" s="37">
        <v>13388</v>
      </c>
      <c r="E5" s="38">
        <v>3.07</v>
      </c>
    </row>
    <row r="6" spans="2:7" x14ac:dyDescent="0.25">
      <c r="B6" s="42" t="s">
        <v>49</v>
      </c>
      <c r="C6" s="394">
        <v>0</v>
      </c>
      <c r="D6" s="37">
        <v>790</v>
      </c>
      <c r="E6" s="38">
        <v>3.47</v>
      </c>
    </row>
    <row r="7" spans="2:7" x14ac:dyDescent="0.25">
      <c r="B7" s="42" t="s">
        <v>53</v>
      </c>
      <c r="C7" s="394">
        <v>3.5400000000000001E-2</v>
      </c>
      <c r="D7" s="37">
        <v>11630</v>
      </c>
      <c r="E7" s="38">
        <v>4.71</v>
      </c>
    </row>
    <row r="9" spans="2:7" ht="13" x14ac:dyDescent="0.3">
      <c r="B9" s="2" t="s">
        <v>360</v>
      </c>
      <c r="C9" s="40" t="s">
        <v>50</v>
      </c>
      <c r="D9" s="40" t="s">
        <v>51</v>
      </c>
      <c r="E9" s="40" t="s">
        <v>52</v>
      </c>
      <c r="F9" s="40" t="s">
        <v>54</v>
      </c>
      <c r="G9" s="6" t="s">
        <v>508</v>
      </c>
    </row>
    <row r="10" spans="2:7" ht="13" x14ac:dyDescent="0.3">
      <c r="B10" s="2">
        <v>2020</v>
      </c>
      <c r="C10" s="39">
        <f>D4*(E4/2000)*365</f>
        <v>31963.420475000003</v>
      </c>
      <c r="D10" s="39">
        <f>D5*(E5/2000)*365</f>
        <v>7500.9616999999998</v>
      </c>
      <c r="E10" s="39">
        <f>D6*(E6/2000)*365</f>
        <v>500.28724999999997</v>
      </c>
      <c r="F10" s="39">
        <v>10000</v>
      </c>
      <c r="G10" s="41">
        <f>SUM(C10:F10)</f>
        <v>49964.669425000007</v>
      </c>
    </row>
    <row r="11" spans="2:7" ht="13" x14ac:dyDescent="0.3">
      <c r="B11" s="2">
        <v>2021</v>
      </c>
      <c r="C11" s="39">
        <f>C10*(1+$C$4)</f>
        <v>32772.095013017504</v>
      </c>
      <c r="D11" s="39">
        <f>D10*(1+$C$5)</f>
        <v>7541.4668931800006</v>
      </c>
      <c r="E11" s="39">
        <f>E10*(1+$C$6)</f>
        <v>500.28724999999997</v>
      </c>
      <c r="F11" s="39">
        <f>F10*(1+$C$7)</f>
        <v>10354.000000000002</v>
      </c>
      <c r="G11" s="41">
        <f t="shared" ref="G11:G74" si="0">SUM(C11:F11)</f>
        <v>51167.849156197502</v>
      </c>
    </row>
    <row r="12" spans="2:7" ht="13" x14ac:dyDescent="0.3">
      <c r="B12" s="2">
        <v>2022</v>
      </c>
      <c r="C12" s="39">
        <f>C11*(1+$C$4)</f>
        <v>33601.229016846853</v>
      </c>
      <c r="D12" s="39">
        <f>D11*(1+$C$5)</f>
        <v>7582.1908144031731</v>
      </c>
      <c r="E12" s="39">
        <f>E11*(1+$C$6)</f>
        <v>500.28724999999997</v>
      </c>
      <c r="F12" s="39">
        <f>F11*(1+$C$7)</f>
        <v>10720.531600000002</v>
      </c>
      <c r="G12" s="41">
        <f t="shared" si="0"/>
        <v>52404.238681250026</v>
      </c>
    </row>
    <row r="13" spans="2:7" ht="13" x14ac:dyDescent="0.3">
      <c r="B13" s="2">
        <v>2023</v>
      </c>
      <c r="C13" s="39">
        <f>C12*(1+$C$4)</f>
        <v>34451.340110973084</v>
      </c>
      <c r="D13" s="39">
        <f>D12*(1+$C$5)</f>
        <v>7623.1346448009508</v>
      </c>
      <c r="E13" s="39">
        <f>E12*(1+$C$6)</f>
        <v>500.28724999999997</v>
      </c>
      <c r="F13" s="39">
        <f>F12*(1+$C$7)</f>
        <v>11100.038418640002</v>
      </c>
      <c r="G13" s="41">
        <f t="shared" si="0"/>
        <v>53674.800424414039</v>
      </c>
    </row>
    <row r="14" spans="2:7" ht="13" x14ac:dyDescent="0.3">
      <c r="B14" s="2">
        <v>2024</v>
      </c>
      <c r="C14" s="39">
        <f>C13*(1+$C$4)</f>
        <v>35322.959015780703</v>
      </c>
      <c r="D14" s="39">
        <f>D13*(1+$C$5)</f>
        <v>7664.2995718828761</v>
      </c>
      <c r="E14" s="39">
        <f>E13*(1+$C$6)</f>
        <v>500.28724999999997</v>
      </c>
      <c r="F14" s="39">
        <f>F13*(1+$C$7)</f>
        <v>11492.979778659859</v>
      </c>
      <c r="G14" s="41">
        <f>SUM(C14:E14)</f>
        <v>43487.54583766358</v>
      </c>
    </row>
    <row r="15" spans="2:7" ht="13" x14ac:dyDescent="0.3">
      <c r="B15" s="2">
        <v>2025</v>
      </c>
      <c r="C15" s="39">
        <f>C14*(1+$C$4)</f>
        <v>36216.629878879961</v>
      </c>
      <c r="D15" s="39">
        <f>D14*(1+$C$5)</f>
        <v>7705.6867895710438</v>
      </c>
      <c r="E15" s="39">
        <f>E14*(1+$C$6)</f>
        <v>500.28724999999997</v>
      </c>
      <c r="F15" s="39">
        <f>F14*(1+$C$7)</f>
        <v>11899.83126282442</v>
      </c>
      <c r="G15" s="41">
        <f>SUM(C15:E15)+F15*(3/12)</f>
        <v>47397.561734157112</v>
      </c>
    </row>
    <row r="16" spans="2:7" ht="13" x14ac:dyDescent="0.3">
      <c r="B16" s="2">
        <v>2026</v>
      </c>
      <c r="C16" s="39">
        <f t="shared" ref="C16:C42" si="1">C15*(1+$C$4)</f>
        <v>37132.910614815628</v>
      </c>
      <c r="D16" s="39">
        <f t="shared" ref="D16:D42" si="2">D15*(1+$C$5)</f>
        <v>7747.2974982347278</v>
      </c>
      <c r="E16" s="39">
        <f t="shared" ref="E16:E79" si="3">E15*(1+$C$6)</f>
        <v>500.28724999999997</v>
      </c>
      <c r="F16" s="39">
        <f t="shared" ref="F16:F79" si="4">F15*(1+$C$7)</f>
        <v>12321.085289528406</v>
      </c>
      <c r="G16" s="41">
        <f t="shared" si="0"/>
        <v>57701.580652578763</v>
      </c>
    </row>
    <row r="17" spans="2:7" ht="13" x14ac:dyDescent="0.3">
      <c r="B17" s="2">
        <v>2027</v>
      </c>
      <c r="C17" s="39">
        <f t="shared" si="1"/>
        <v>38072.373253370468</v>
      </c>
      <c r="D17" s="39">
        <f t="shared" si="2"/>
        <v>7789.1329047251957</v>
      </c>
      <c r="E17" s="39">
        <f t="shared" si="3"/>
        <v>500.28724999999997</v>
      </c>
      <c r="F17" s="39">
        <f t="shared" si="4"/>
        <v>12757.251708777712</v>
      </c>
      <c r="G17" s="41">
        <f t="shared" si="0"/>
        <v>59119.045116873371</v>
      </c>
    </row>
    <row r="18" spans="2:7" ht="13" x14ac:dyDescent="0.3">
      <c r="B18" s="2">
        <v>2028</v>
      </c>
      <c r="C18" s="39">
        <f t="shared" si="1"/>
        <v>39035.604296680744</v>
      </c>
      <c r="D18" s="39">
        <f t="shared" si="2"/>
        <v>7831.1942224107124</v>
      </c>
      <c r="E18" s="39">
        <f t="shared" si="3"/>
        <v>500.28724999999997</v>
      </c>
      <c r="F18" s="39">
        <f t="shared" si="4"/>
        <v>13208.858419268445</v>
      </c>
      <c r="G18" s="41">
        <f t="shared" si="0"/>
        <v>60575.944188359899</v>
      </c>
    </row>
    <row r="19" spans="2:7" ht="13" x14ac:dyDescent="0.3">
      <c r="B19" s="2">
        <v>2029</v>
      </c>
      <c r="C19" s="39">
        <f t="shared" si="1"/>
        <v>40023.205085386769</v>
      </c>
      <c r="D19" s="39">
        <f t="shared" si="2"/>
        <v>7873.482671211731</v>
      </c>
      <c r="E19" s="39">
        <f t="shared" si="3"/>
        <v>500.28724999999997</v>
      </c>
      <c r="F19" s="39">
        <f t="shared" si="4"/>
        <v>13676.452007310549</v>
      </c>
      <c r="G19" s="41">
        <f t="shared" si="0"/>
        <v>62073.427013909051</v>
      </c>
    </row>
    <row r="20" spans="2:7" ht="13" x14ac:dyDescent="0.3">
      <c r="B20" s="2">
        <v>2030</v>
      </c>
      <c r="C20" s="39">
        <f t="shared" si="1"/>
        <v>41035.792174047056</v>
      </c>
      <c r="D20" s="39">
        <f t="shared" si="2"/>
        <v>7915.9994776362746</v>
      </c>
      <c r="E20" s="39">
        <f t="shared" si="3"/>
        <v>500.28724999999997</v>
      </c>
      <c r="F20" s="39">
        <f t="shared" si="4"/>
        <v>14160.598408369344</v>
      </c>
      <c r="G20" s="41">
        <f t="shared" si="0"/>
        <v>63612.677310052677</v>
      </c>
    </row>
    <row r="21" spans="2:7" ht="13" x14ac:dyDescent="0.3">
      <c r="B21" s="2">
        <v>2031</v>
      </c>
      <c r="C21" s="39">
        <f t="shared" si="1"/>
        <v>42073.99771605045</v>
      </c>
      <c r="D21" s="39">
        <f t="shared" si="2"/>
        <v>7958.7458748155113</v>
      </c>
      <c r="E21" s="39">
        <f t="shared" si="3"/>
        <v>500.28724999999997</v>
      </c>
      <c r="F21" s="39">
        <f t="shared" si="4"/>
        <v>14661.883592025621</v>
      </c>
      <c r="G21" s="41">
        <f t="shared" si="0"/>
        <v>65194.914432891586</v>
      </c>
    </row>
    <row r="22" spans="2:7" ht="13" x14ac:dyDescent="0.3">
      <c r="B22" s="2">
        <v>2032</v>
      </c>
      <c r="C22" s="39">
        <f t="shared" si="1"/>
        <v>43138.46985826653</v>
      </c>
      <c r="D22" s="39">
        <f t="shared" si="2"/>
        <v>8001.7231025395158</v>
      </c>
      <c r="E22" s="39">
        <f t="shared" si="3"/>
        <v>500.28724999999997</v>
      </c>
      <c r="F22" s="39">
        <f t="shared" si="4"/>
        <v>15180.914271183328</v>
      </c>
      <c r="G22" s="41">
        <f t="shared" si="0"/>
        <v>66821.39448198938</v>
      </c>
    </row>
    <row r="23" spans="2:7" ht="13" x14ac:dyDescent="0.3">
      <c r="B23" s="2">
        <v>2033</v>
      </c>
      <c r="C23" s="39">
        <f t="shared" si="1"/>
        <v>44229.873145680678</v>
      </c>
      <c r="D23" s="39">
        <f t="shared" si="2"/>
        <v>8044.9324072932295</v>
      </c>
      <c r="E23" s="39">
        <f t="shared" si="3"/>
        <v>500.28724999999997</v>
      </c>
      <c r="F23" s="39">
        <f t="shared" si="4"/>
        <v>15718.318636383219</v>
      </c>
      <c r="G23" s="41">
        <f t="shared" si="0"/>
        <v>68493.411439357122</v>
      </c>
    </row>
    <row r="24" spans="2:7" ht="13" x14ac:dyDescent="0.3">
      <c r="B24" s="2">
        <v>2034</v>
      </c>
      <c r="C24" s="39">
        <f t="shared" si="1"/>
        <v>45348.888936266405</v>
      </c>
      <c r="D24" s="39">
        <f t="shared" si="2"/>
        <v>8088.3750422926132</v>
      </c>
      <c r="E24" s="39">
        <f t="shared" si="3"/>
        <v>500.28724999999997</v>
      </c>
      <c r="F24" s="39">
        <f t="shared" si="4"/>
        <v>16274.747116111186</v>
      </c>
      <c r="G24" s="41">
        <f t="shared" si="0"/>
        <v>70212.298344670198</v>
      </c>
    </row>
    <row r="25" spans="2:7" ht="13" x14ac:dyDescent="0.3">
      <c r="B25" s="2">
        <v>2035</v>
      </c>
      <c r="C25" s="39">
        <f t="shared" si="1"/>
        <v>46496.215826353946</v>
      </c>
      <c r="D25" s="39">
        <f t="shared" si="2"/>
        <v>8132.0522675209941</v>
      </c>
      <c r="E25" s="39">
        <f t="shared" si="3"/>
        <v>500.28724999999997</v>
      </c>
      <c r="F25" s="39">
        <f t="shared" si="4"/>
        <v>16850.873164021523</v>
      </c>
      <c r="G25" s="41">
        <f t="shared" si="0"/>
        <v>71979.42850789646</v>
      </c>
    </row>
    <row r="26" spans="2:7" ht="13" x14ac:dyDescent="0.3">
      <c r="B26" s="2">
        <v>2036</v>
      </c>
      <c r="C26" s="39">
        <f t="shared" si="1"/>
        <v>47672.570086760708</v>
      </c>
      <c r="D26" s="39">
        <f t="shared" si="2"/>
        <v>8175.9653497656082</v>
      </c>
      <c r="E26" s="39">
        <f t="shared" si="3"/>
        <v>500.28724999999997</v>
      </c>
      <c r="F26" s="39">
        <f t="shared" si="4"/>
        <v>17447.394074027885</v>
      </c>
      <c r="G26" s="41">
        <f t="shared" si="0"/>
        <v>73796.216760554205</v>
      </c>
    </row>
    <row r="27" spans="2:7" ht="13" x14ac:dyDescent="0.3">
      <c r="B27" s="2">
        <v>2037</v>
      </c>
      <c r="C27" s="39">
        <f t="shared" si="1"/>
        <v>48878.686109955757</v>
      </c>
      <c r="D27" s="39">
        <f t="shared" si="2"/>
        <v>8220.1155626543423</v>
      </c>
      <c r="E27" s="39">
        <f t="shared" si="3"/>
        <v>500.28724999999997</v>
      </c>
      <c r="F27" s="39">
        <f t="shared" si="4"/>
        <v>18065.031824248475</v>
      </c>
      <c r="G27" s="41">
        <f t="shared" si="0"/>
        <v>75664.120746858578</v>
      </c>
    </row>
    <row r="28" spans="2:7" ht="13" x14ac:dyDescent="0.3">
      <c r="B28" s="2">
        <v>2038</v>
      </c>
      <c r="C28" s="39">
        <f t="shared" si="1"/>
        <v>50115.316868537644</v>
      </c>
      <c r="D28" s="39">
        <f t="shared" si="2"/>
        <v>8264.5041866926767</v>
      </c>
      <c r="E28" s="39">
        <f t="shared" si="3"/>
        <v>500.28724999999997</v>
      </c>
      <c r="F28" s="39">
        <f t="shared" si="4"/>
        <v>18704.533950826873</v>
      </c>
      <c r="G28" s="41">
        <f t="shared" si="0"/>
        <v>77584.642256057195</v>
      </c>
    </row>
    <row r="29" spans="2:7" ht="13" x14ac:dyDescent="0.3">
      <c r="B29" s="2">
        <v>2039</v>
      </c>
      <c r="C29" s="39">
        <f t="shared" si="1"/>
        <v>51383.234385311654</v>
      </c>
      <c r="D29" s="39">
        <f t="shared" si="2"/>
        <v>8309.1325093008181</v>
      </c>
      <c r="E29" s="39">
        <f t="shared" si="3"/>
        <v>500.28724999999997</v>
      </c>
      <c r="F29" s="39">
        <f t="shared" si="4"/>
        <v>19366.674452686148</v>
      </c>
      <c r="G29" s="41">
        <f t="shared" si="0"/>
        <v>79559.32859729862</v>
      </c>
    </row>
    <row r="30" spans="2:7" ht="13" x14ac:dyDescent="0.3">
      <c r="B30" s="2">
        <v>2040</v>
      </c>
      <c r="C30" s="39">
        <f t="shared" si="1"/>
        <v>52683.230215260046</v>
      </c>
      <c r="D30" s="39">
        <f t="shared" si="2"/>
        <v>8354.0018248510423</v>
      </c>
      <c r="E30" s="39">
        <f t="shared" si="3"/>
        <v>500.28724999999997</v>
      </c>
      <c r="F30" s="39">
        <f t="shared" si="4"/>
        <v>20052.25472831124</v>
      </c>
      <c r="G30" s="41">
        <f t="shared" si="0"/>
        <v>81589.774018422337</v>
      </c>
    </row>
    <row r="31" spans="2:7" ht="13" x14ac:dyDescent="0.3">
      <c r="B31" s="2">
        <v>2041</v>
      </c>
      <c r="C31" s="39">
        <f t="shared" si="1"/>
        <v>54016.115939706127</v>
      </c>
      <c r="D31" s="39">
        <f t="shared" si="2"/>
        <v>8399.1134347052393</v>
      </c>
      <c r="E31" s="39">
        <f t="shared" si="3"/>
        <v>500.28724999999997</v>
      </c>
      <c r="F31" s="39">
        <f t="shared" si="4"/>
        <v>20762.104545693459</v>
      </c>
      <c r="G31" s="41">
        <f t="shared" si="0"/>
        <v>83677.621170104831</v>
      </c>
    </row>
    <row r="32" spans="2:7" ht="13" x14ac:dyDescent="0.3">
      <c r="B32" s="2">
        <v>2042</v>
      </c>
      <c r="C32" s="39">
        <f t="shared" si="1"/>
        <v>55382.723672980697</v>
      </c>
      <c r="D32" s="39">
        <f t="shared" si="2"/>
        <v>8444.4686472526482</v>
      </c>
      <c r="E32" s="39">
        <f t="shared" si="3"/>
        <v>500.28724999999997</v>
      </c>
      <c r="F32" s="39">
        <f t="shared" si="4"/>
        <v>21497.083046611009</v>
      </c>
      <c r="G32" s="41">
        <f t="shared" si="0"/>
        <v>85824.562616844356</v>
      </c>
    </row>
    <row r="33" spans="2:7" ht="13" x14ac:dyDescent="0.3">
      <c r="B33" s="2">
        <v>2043</v>
      </c>
      <c r="C33" s="39">
        <f t="shared" si="1"/>
        <v>56783.906581907111</v>
      </c>
      <c r="D33" s="39">
        <f t="shared" si="2"/>
        <v>8490.0687779478139</v>
      </c>
      <c r="E33" s="39">
        <f t="shared" si="3"/>
        <v>500.28724999999997</v>
      </c>
      <c r="F33" s="39">
        <f t="shared" si="4"/>
        <v>22258.079786461039</v>
      </c>
      <c r="G33" s="41">
        <f t="shared" si="0"/>
        <v>88032.342396315958</v>
      </c>
    </row>
    <row r="34" spans="2:7" ht="13" x14ac:dyDescent="0.3">
      <c r="B34" s="2">
        <v>2044</v>
      </c>
      <c r="C34" s="39">
        <f t="shared" si="1"/>
        <v>58220.539418429369</v>
      </c>
      <c r="D34" s="39">
        <f t="shared" si="2"/>
        <v>8535.9151493487334</v>
      </c>
      <c r="E34" s="39">
        <f t="shared" si="3"/>
        <v>500.28724999999997</v>
      </c>
      <c r="F34" s="39">
        <f t="shared" si="4"/>
        <v>23046.015810901761</v>
      </c>
      <c r="G34" s="41">
        <f t="shared" si="0"/>
        <v>90302.757628679858</v>
      </c>
    </row>
    <row r="35" spans="2:7" ht="13" x14ac:dyDescent="0.3">
      <c r="B35" s="2">
        <v>2045</v>
      </c>
      <c r="C35" s="39">
        <f t="shared" si="1"/>
        <v>59693.519065715634</v>
      </c>
      <c r="D35" s="39">
        <f t="shared" si="2"/>
        <v>8582.0090911552179</v>
      </c>
      <c r="E35" s="39">
        <f t="shared" si="3"/>
        <v>500.28724999999997</v>
      </c>
      <c r="F35" s="39">
        <f t="shared" si="4"/>
        <v>23861.844770607684</v>
      </c>
      <c r="G35" s="41">
        <f t="shared" si="0"/>
        <v>92637.660177478538</v>
      </c>
    </row>
    <row r="36" spans="2:7" ht="13" x14ac:dyDescent="0.3">
      <c r="B36" s="2">
        <v>2046</v>
      </c>
      <c r="C36" s="39">
        <f t="shared" si="1"/>
        <v>61203.765098078249</v>
      </c>
      <c r="D36" s="39">
        <f t="shared" si="2"/>
        <v>8628.3519402474558</v>
      </c>
      <c r="E36" s="39">
        <f t="shared" si="3"/>
        <v>500.28724999999997</v>
      </c>
      <c r="F36" s="39">
        <f t="shared" si="4"/>
        <v>24706.554075487198</v>
      </c>
      <c r="G36" s="41">
        <f t="shared" si="0"/>
        <v>95038.958363812882</v>
      </c>
    </row>
    <row r="37" spans="2:7" ht="13" x14ac:dyDescent="0.3">
      <c r="B37" s="2">
        <v>2047</v>
      </c>
      <c r="C37" s="39">
        <f t="shared" si="1"/>
        <v>62752.220355059631</v>
      </c>
      <c r="D37" s="39">
        <f t="shared" si="2"/>
        <v>8674.9450407247932</v>
      </c>
      <c r="E37" s="39">
        <f t="shared" si="3"/>
        <v>500.28724999999997</v>
      </c>
      <c r="F37" s="39">
        <f t="shared" si="4"/>
        <v>25581.166089759448</v>
      </c>
      <c r="G37" s="41">
        <f t="shared" si="0"/>
        <v>97508.61873554386</v>
      </c>
    </row>
    <row r="38" spans="2:7" ht="13" x14ac:dyDescent="0.3">
      <c r="B38" s="2">
        <v>2048</v>
      </c>
      <c r="C38" s="39">
        <f t="shared" si="1"/>
        <v>64339.851530042644</v>
      </c>
      <c r="D38" s="39">
        <f t="shared" si="2"/>
        <v>8721.7897439447079</v>
      </c>
      <c r="E38" s="39">
        <f t="shared" si="3"/>
        <v>500.28724999999997</v>
      </c>
      <c r="F38" s="39">
        <f t="shared" si="4"/>
        <v>26486.739369336934</v>
      </c>
      <c r="G38" s="41">
        <f t="shared" si="0"/>
        <v>100048.66789332428</v>
      </c>
    </row>
    <row r="39" spans="2:7" ht="13" x14ac:dyDescent="0.3">
      <c r="B39" s="2">
        <v>2049</v>
      </c>
      <c r="C39" s="39">
        <f t="shared" si="1"/>
        <v>65967.649773752724</v>
      </c>
      <c r="D39" s="39">
        <f t="shared" si="2"/>
        <v>8768.88740856201</v>
      </c>
      <c r="E39" s="39">
        <f t="shared" si="3"/>
        <v>500.28724999999997</v>
      </c>
      <c r="F39" s="39">
        <f t="shared" si="4"/>
        <v>27424.369943011465</v>
      </c>
      <c r="G39" s="41">
        <f t="shared" si="0"/>
        <v>102661.19437532619</v>
      </c>
    </row>
    <row r="40" spans="2:7" ht="13" x14ac:dyDescent="0.3">
      <c r="B40" s="2">
        <v>2050</v>
      </c>
      <c r="C40" s="39">
        <f t="shared" si="1"/>
        <v>67636.631313028673</v>
      </c>
      <c r="D40" s="39">
        <f t="shared" si="2"/>
        <v>8816.2394005682454</v>
      </c>
      <c r="E40" s="39">
        <f t="shared" si="3"/>
        <v>500.28724999999997</v>
      </c>
      <c r="F40" s="39">
        <f t="shared" si="4"/>
        <v>28395.192638994075</v>
      </c>
      <c r="G40" s="41">
        <f t="shared" si="0"/>
        <v>105348.35060259099</v>
      </c>
    </row>
    <row r="41" spans="2:7" ht="13" x14ac:dyDescent="0.3">
      <c r="B41" s="2">
        <v>2051</v>
      </c>
      <c r="C41" s="39">
        <f t="shared" si="1"/>
        <v>69347.83808524831</v>
      </c>
      <c r="D41" s="39">
        <f t="shared" si="2"/>
        <v>8863.8470933313147</v>
      </c>
      <c r="E41" s="39">
        <f t="shared" si="3"/>
        <v>500.28724999999997</v>
      </c>
      <c r="F41" s="39">
        <f t="shared" si="4"/>
        <v>29400.382458414468</v>
      </c>
      <c r="G41" s="41">
        <f t="shared" si="0"/>
        <v>108112.35488699409</v>
      </c>
    </row>
    <row r="42" spans="2:7" ht="13" x14ac:dyDescent="0.3">
      <c r="B42" s="2">
        <v>2052</v>
      </c>
      <c r="C42" s="39">
        <f t="shared" si="1"/>
        <v>71102.338388805103</v>
      </c>
      <c r="D42" s="39">
        <f t="shared" si="2"/>
        <v>8911.7118676353039</v>
      </c>
      <c r="E42" s="39">
        <f t="shared" si="3"/>
        <v>500.28724999999997</v>
      </c>
      <c r="F42" s="39">
        <f t="shared" si="4"/>
        <v>30441.155997442344</v>
      </c>
      <c r="G42" s="41">
        <f t="shared" si="0"/>
        <v>110955.49350388274</v>
      </c>
    </row>
    <row r="43" spans="2:7" ht="13" x14ac:dyDescent="0.3">
      <c r="B43" s="2">
        <v>2053</v>
      </c>
      <c r="C43" s="39">
        <f>C42*(1+$C$4)</f>
        <v>72901.227550041876</v>
      </c>
      <c r="D43" s="39">
        <f>D42*(1+$C$5)</f>
        <v>8959.8351117205348</v>
      </c>
      <c r="E43" s="39">
        <f t="shared" si="3"/>
        <v>500.28724999999997</v>
      </c>
      <c r="F43" s="39">
        <f t="shared" si="4"/>
        <v>31518.772919751806</v>
      </c>
      <c r="G43" s="41">
        <f t="shared" si="0"/>
        <v>113880.12283151421</v>
      </c>
    </row>
    <row r="44" spans="2:7" ht="13" x14ac:dyDescent="0.3">
      <c r="B44" s="2">
        <v>2054</v>
      </c>
      <c r="C44" s="39">
        <f>C43*(1+$C$4)</f>
        <v>74745.628607057937</v>
      </c>
      <c r="D44" s="39">
        <f>D43*(1+$C$5)</f>
        <v>9008.2182213238266</v>
      </c>
      <c r="E44" s="39">
        <f t="shared" si="3"/>
        <v>500.28724999999997</v>
      </c>
      <c r="F44" s="39">
        <f t="shared" si="4"/>
        <v>32634.537481111023</v>
      </c>
      <c r="G44" s="41">
        <f t="shared" si="0"/>
        <v>116888.67155949278</v>
      </c>
    </row>
    <row r="45" spans="2:7" ht="13" x14ac:dyDescent="0.3">
      <c r="B45" s="2">
        <v>2055</v>
      </c>
      <c r="C45" s="39">
        <f t="shared" ref="C45:C51" si="5">C44*(1+$C$4)</f>
        <v>76636.693010816511</v>
      </c>
      <c r="D45" s="39">
        <f t="shared" ref="D45:D51" si="6">D44*(1+$C$5)</f>
        <v>9056.8625997189756</v>
      </c>
      <c r="E45" s="39">
        <f t="shared" si="3"/>
        <v>500.28724999999997</v>
      </c>
      <c r="F45" s="39">
        <f t="shared" si="4"/>
        <v>33789.800107942356</v>
      </c>
      <c r="G45" s="41">
        <f t="shared" si="0"/>
        <v>119983.64296847784</v>
      </c>
    </row>
    <row r="46" spans="2:7" ht="13" x14ac:dyDescent="0.3">
      <c r="B46" s="2">
        <v>2056</v>
      </c>
      <c r="C46" s="39">
        <f t="shared" si="5"/>
        <v>78575.601343990173</v>
      </c>
      <c r="D46" s="39">
        <f t="shared" si="6"/>
        <v>9105.7696577574588</v>
      </c>
      <c r="E46" s="39">
        <f t="shared" si="3"/>
        <v>500.28724999999997</v>
      </c>
      <c r="F46" s="39">
        <f t="shared" si="4"/>
        <v>34985.959031763516</v>
      </c>
      <c r="G46" s="41">
        <f t="shared" si="0"/>
        <v>123167.61728351114</v>
      </c>
    </row>
    <row r="47" spans="2:7" ht="13" x14ac:dyDescent="0.3">
      <c r="B47" s="2">
        <v>2057</v>
      </c>
      <c r="C47" s="39">
        <f t="shared" si="5"/>
        <v>80563.564057993135</v>
      </c>
      <c r="D47" s="39">
        <f t="shared" si="6"/>
        <v>9154.9408139093503</v>
      </c>
      <c r="E47" s="39">
        <f t="shared" si="3"/>
        <v>500.28724999999997</v>
      </c>
      <c r="F47" s="39">
        <f t="shared" si="4"/>
        <v>36224.461981487948</v>
      </c>
      <c r="G47" s="41">
        <f t="shared" si="0"/>
        <v>126443.25410339044</v>
      </c>
    </row>
    <row r="48" spans="2:7" ht="13" x14ac:dyDescent="0.3">
      <c r="B48" s="2">
        <v>2058</v>
      </c>
      <c r="C48" s="39">
        <f t="shared" si="5"/>
        <v>82601.82222866037</v>
      </c>
      <c r="D48" s="39">
        <f t="shared" si="6"/>
        <v>9204.3774943044609</v>
      </c>
      <c r="E48" s="39">
        <f t="shared" si="3"/>
        <v>500.28724999999997</v>
      </c>
      <c r="F48" s="39">
        <f t="shared" si="4"/>
        <v>37506.807935632627</v>
      </c>
      <c r="G48" s="41">
        <f t="shared" si="0"/>
        <v>129813.29490859745</v>
      </c>
    </row>
    <row r="49" spans="2:7" ht="13" x14ac:dyDescent="0.3">
      <c r="B49" s="2">
        <v>2059</v>
      </c>
      <c r="C49" s="39">
        <f t="shared" si="5"/>
        <v>84691.648331045493</v>
      </c>
      <c r="D49" s="39">
        <f t="shared" si="6"/>
        <v>9254.0811327737065</v>
      </c>
      <c r="E49" s="39">
        <f t="shared" si="3"/>
        <v>500.28724999999997</v>
      </c>
      <c r="F49" s="39">
        <f t="shared" si="4"/>
        <v>38834.548936554027</v>
      </c>
      <c r="G49" s="41">
        <f t="shared" si="0"/>
        <v>133280.56565037323</v>
      </c>
    </row>
    <row r="50" spans="2:7" ht="13" x14ac:dyDescent="0.3">
      <c r="B50" s="2">
        <v>2060</v>
      </c>
      <c r="C50" s="39">
        <f t="shared" si="5"/>
        <v>86834.347033820959</v>
      </c>
      <c r="D50" s="39">
        <f t="shared" si="6"/>
        <v>9304.0531708906856</v>
      </c>
      <c r="E50" s="39">
        <f t="shared" si="3"/>
        <v>500.28724999999997</v>
      </c>
      <c r="F50" s="39">
        <f t="shared" si="4"/>
        <v>40209.291968908045</v>
      </c>
      <c r="G50" s="41">
        <f t="shared" si="0"/>
        <v>136847.97942361969</v>
      </c>
    </row>
    <row r="51" spans="2:7" ht="13" x14ac:dyDescent="0.3">
      <c r="B51" s="2">
        <v>2061</v>
      </c>
      <c r="C51" s="39">
        <f t="shared" si="5"/>
        <v>89031.256013776641</v>
      </c>
      <c r="D51" s="39">
        <f t="shared" si="6"/>
        <v>9354.2950580134966</v>
      </c>
      <c r="E51" s="39">
        <f t="shared" si="3"/>
        <v>500.28724999999997</v>
      </c>
      <c r="F51" s="39">
        <f t="shared" si="4"/>
        <v>41632.700904607394</v>
      </c>
      <c r="G51" s="41">
        <f t="shared" si="0"/>
        <v>140518.53922639752</v>
      </c>
    </row>
    <row r="52" spans="2:7" ht="13" x14ac:dyDescent="0.3">
      <c r="B52" s="2">
        <v>2062</v>
      </c>
      <c r="C52" s="39">
        <f>C51*(1+$C$4)</f>
        <v>91283.746790925201</v>
      </c>
      <c r="D52" s="39">
        <f>D51*(1+$C$5)</f>
        <v>9404.8082513267709</v>
      </c>
      <c r="E52" s="39">
        <f t="shared" si="3"/>
        <v>500.28724999999997</v>
      </c>
      <c r="F52" s="39">
        <f t="shared" si="4"/>
        <v>43106.498516630498</v>
      </c>
      <c r="G52" s="41">
        <f t="shared" si="0"/>
        <v>144295.34080888247</v>
      </c>
    </row>
    <row r="53" spans="2:7" ht="13" x14ac:dyDescent="0.3">
      <c r="B53" s="2">
        <v>2063</v>
      </c>
      <c r="C53" s="39">
        <f>C52*(1+$C$4)</f>
        <v>93593.225584735614</v>
      </c>
      <c r="D53" s="39">
        <f>D52*(1+$C$5)</f>
        <v>9455.5942158839352</v>
      </c>
      <c r="E53" s="39">
        <f t="shared" si="3"/>
        <v>500.28724999999997</v>
      </c>
      <c r="F53" s="39">
        <f t="shared" si="4"/>
        <v>44632.468564119219</v>
      </c>
      <c r="G53" s="41">
        <f t="shared" si="0"/>
        <v>148181.57561473874</v>
      </c>
    </row>
    <row r="54" spans="2:7" ht="13" x14ac:dyDescent="0.3">
      <c r="B54" s="2">
        <v>2064</v>
      </c>
      <c r="C54" s="39">
        <f t="shared" ref="C54:C61" si="7">C53*(1+$C$4)</f>
        <v>95961.134192029436</v>
      </c>
      <c r="D54" s="39">
        <f t="shared" ref="D54:D61" si="8">D53*(1+$C$5)</f>
        <v>9506.6544246497087</v>
      </c>
      <c r="E54" s="39">
        <f t="shared" si="3"/>
        <v>500.28724999999997</v>
      </c>
      <c r="F54" s="39">
        <f t="shared" si="4"/>
        <v>46212.457951289041</v>
      </c>
      <c r="G54" s="41">
        <f t="shared" si="0"/>
        <v>152180.53381796819</v>
      </c>
    </row>
    <row r="55" spans="2:7" ht="13" x14ac:dyDescent="0.3">
      <c r="B55" s="2">
        <v>2065</v>
      </c>
      <c r="C55" s="39">
        <f t="shared" si="7"/>
        <v>98388.950887087791</v>
      </c>
      <c r="D55" s="39">
        <f t="shared" si="8"/>
        <v>9557.9903585428183</v>
      </c>
      <c r="E55" s="39">
        <f t="shared" si="3"/>
        <v>500.28724999999997</v>
      </c>
      <c r="F55" s="39">
        <f t="shared" si="4"/>
        <v>47848.378962764677</v>
      </c>
      <c r="G55" s="41">
        <f t="shared" si="0"/>
        <v>156295.6074583953</v>
      </c>
    </row>
    <row r="56" spans="2:7" ht="13" x14ac:dyDescent="0.3">
      <c r="B56" s="2">
        <v>2066</v>
      </c>
      <c r="C56" s="39">
        <f t="shared" si="7"/>
        <v>100878.19134453112</v>
      </c>
      <c r="D56" s="39">
        <f t="shared" si="8"/>
        <v>9609.6035064789503</v>
      </c>
      <c r="E56" s="39">
        <f t="shared" si="3"/>
        <v>500.28724999999997</v>
      </c>
      <c r="F56" s="39">
        <f t="shared" si="4"/>
        <v>49542.211578046554</v>
      </c>
      <c r="G56" s="41">
        <f t="shared" si="0"/>
        <v>160530.29367905663</v>
      </c>
    </row>
    <row r="57" spans="2:7" ht="13" x14ac:dyDescent="0.3">
      <c r="B57" s="2">
        <v>2067</v>
      </c>
      <c r="C57" s="39">
        <f t="shared" si="7"/>
        <v>103430.40958554776</v>
      </c>
      <c r="D57" s="39">
        <f t="shared" si="8"/>
        <v>9661.4953654139372</v>
      </c>
      <c r="E57" s="39">
        <f t="shared" si="3"/>
        <v>500.28724999999997</v>
      </c>
      <c r="F57" s="39">
        <f t="shared" si="4"/>
        <v>51296.005867909407</v>
      </c>
      <c r="G57" s="41">
        <f t="shared" si="0"/>
        <v>164888.1980688711</v>
      </c>
    </row>
    <row r="58" spans="2:7" ht="13" x14ac:dyDescent="0.3">
      <c r="B58" s="2">
        <v>2068</v>
      </c>
      <c r="C58" s="39">
        <f t="shared" si="7"/>
        <v>106047.19894806213</v>
      </c>
      <c r="D58" s="39">
        <f t="shared" si="8"/>
        <v>9713.667440387173</v>
      </c>
      <c r="E58" s="39">
        <f t="shared" si="3"/>
        <v>500.28724999999997</v>
      </c>
      <c r="F58" s="39">
        <f t="shared" si="4"/>
        <v>53111.884475633407</v>
      </c>
      <c r="G58" s="41">
        <f t="shared" si="0"/>
        <v>169373.03811408271</v>
      </c>
    </row>
    <row r="59" spans="2:7" ht="13" x14ac:dyDescent="0.3">
      <c r="B59" s="2">
        <v>2069</v>
      </c>
      <c r="C59" s="39">
        <f t="shared" si="7"/>
        <v>108730.19308144812</v>
      </c>
      <c r="D59" s="39">
        <f t="shared" si="8"/>
        <v>9766.1212445652636</v>
      </c>
      <c r="E59" s="39">
        <f t="shared" si="3"/>
        <v>500.28724999999997</v>
      </c>
      <c r="F59" s="39">
        <f t="shared" si="4"/>
        <v>54992.045186070834</v>
      </c>
      <c r="G59" s="41">
        <f t="shared" si="0"/>
        <v>173988.64676208422</v>
      </c>
    </row>
    <row r="60" spans="2:7" ht="13" x14ac:dyDescent="0.3">
      <c r="B60" s="2">
        <v>2070</v>
      </c>
      <c r="C60" s="39">
        <f t="shared" si="7"/>
        <v>111481.06696640876</v>
      </c>
      <c r="D60" s="39">
        <f t="shared" si="8"/>
        <v>9818.8582992859174</v>
      </c>
      <c r="E60" s="39">
        <f t="shared" si="3"/>
        <v>500.28724999999997</v>
      </c>
      <c r="F60" s="39">
        <f t="shared" si="4"/>
        <v>56938.763585657747</v>
      </c>
      <c r="G60" s="41">
        <f t="shared" si="0"/>
        <v>178738.97610135243</v>
      </c>
    </row>
    <row r="61" spans="2:7" ht="13" x14ac:dyDescent="0.3">
      <c r="B61" s="2">
        <v>2071</v>
      </c>
      <c r="C61" s="39">
        <f t="shared" si="7"/>
        <v>114301.53796065891</v>
      </c>
      <c r="D61" s="39">
        <f t="shared" si="8"/>
        <v>9871.8801341020626</v>
      </c>
      <c r="E61" s="39">
        <f t="shared" si="3"/>
        <v>500.28724999999997</v>
      </c>
      <c r="F61" s="39">
        <f t="shared" si="4"/>
        <v>58954.39581659004</v>
      </c>
      <c r="G61" s="41">
        <f t="shared" si="0"/>
        <v>183628.10116135102</v>
      </c>
    </row>
    <row r="62" spans="2:7" ht="13" x14ac:dyDescent="0.3">
      <c r="B62" s="2">
        <v>2072</v>
      </c>
      <c r="C62" s="39">
        <f>C61*(1+$C$4)</f>
        <v>117193.3668710636</v>
      </c>
      <c r="D62" s="39">
        <f>D61*(1+$C$5)</f>
        <v>9925.1882868262146</v>
      </c>
      <c r="E62" s="39">
        <f t="shared" si="3"/>
        <v>500.28724999999997</v>
      </c>
      <c r="F62" s="39">
        <f t="shared" si="4"/>
        <v>61041.381428497334</v>
      </c>
      <c r="G62" s="41">
        <f t="shared" si="0"/>
        <v>188660.22383638716</v>
      </c>
    </row>
    <row r="63" spans="2:7" ht="13" x14ac:dyDescent="0.3">
      <c r="B63" s="2">
        <v>2073</v>
      </c>
      <c r="C63" s="39">
        <f>C62*(1+$C$4)</f>
        <v>120158.35905290152</v>
      </c>
      <c r="D63" s="39">
        <f>D62*(1+$C$5)</f>
        <v>9978.7843035750775</v>
      </c>
      <c r="E63" s="39">
        <f t="shared" si="3"/>
        <v>500.28724999999997</v>
      </c>
      <c r="F63" s="39">
        <f t="shared" si="4"/>
        <v>63202.246331066148</v>
      </c>
      <c r="G63" s="41">
        <f t="shared" si="0"/>
        <v>193839.67693754274</v>
      </c>
    </row>
    <row r="64" spans="2:7" ht="13" x14ac:dyDescent="0.3">
      <c r="B64" s="2">
        <v>2074</v>
      </c>
      <c r="C64" s="39">
        <f t="shared" ref="C64:C71" si="9">C63*(1+$C$4)</f>
        <v>123198.36553693993</v>
      </c>
      <c r="D64" s="39">
        <f t="shared" ref="D64:D71" si="10">D63*(1+$C$5)</f>
        <v>10032.669738814384</v>
      </c>
      <c r="E64" s="39">
        <f t="shared" si="3"/>
        <v>500.28724999999997</v>
      </c>
      <c r="F64" s="39">
        <f t="shared" si="4"/>
        <v>65439.605851185894</v>
      </c>
      <c r="G64" s="41">
        <f t="shared" si="0"/>
        <v>199170.9283769402</v>
      </c>
    </row>
    <row r="65" spans="2:7" ht="13" x14ac:dyDescent="0.3">
      <c r="B65" s="2">
        <v>2075</v>
      </c>
      <c r="C65" s="39">
        <f t="shared" si="9"/>
        <v>126315.28418502453</v>
      </c>
      <c r="D65" s="39">
        <f t="shared" si="10"/>
        <v>10086.846155403982</v>
      </c>
      <c r="E65" s="39">
        <f t="shared" si="3"/>
        <v>500.28724999999997</v>
      </c>
      <c r="F65" s="39">
        <f t="shared" si="4"/>
        <v>67756.167898317886</v>
      </c>
      <c r="G65" s="41">
        <f t="shared" si="0"/>
        <v>204658.58548874638</v>
      </c>
    </row>
    <row r="66" spans="2:7" ht="13" x14ac:dyDescent="0.3">
      <c r="B66" s="2">
        <v>2076</v>
      </c>
      <c r="C66" s="39">
        <f t="shared" si="9"/>
        <v>129511.06087490567</v>
      </c>
      <c r="D66" s="39">
        <f t="shared" si="10"/>
        <v>10141.315124643164</v>
      </c>
      <c r="E66" s="39">
        <f t="shared" si="3"/>
        <v>500.28724999999997</v>
      </c>
      <c r="F66" s="39">
        <f t="shared" si="4"/>
        <v>70154.736241918348</v>
      </c>
      <c r="G66" s="41">
        <f t="shared" si="0"/>
        <v>210307.39949146716</v>
      </c>
    </row>
    <row r="67" spans="2:7" ht="13" x14ac:dyDescent="0.3">
      <c r="B67" s="2">
        <v>2077</v>
      </c>
      <c r="C67" s="39">
        <f t="shared" si="9"/>
        <v>132787.69071504081</v>
      </c>
      <c r="D67" s="39">
        <f t="shared" si="10"/>
        <v>10196.078226316238</v>
      </c>
      <c r="E67" s="39">
        <f t="shared" si="3"/>
        <v>500.28724999999997</v>
      </c>
      <c r="F67" s="39">
        <f t="shared" si="4"/>
        <v>72638.213904882272</v>
      </c>
      <c r="G67" s="41">
        <f t="shared" si="0"/>
        <v>216122.27009623928</v>
      </c>
    </row>
    <row r="68" spans="2:7" ht="13" x14ac:dyDescent="0.3">
      <c r="B68" s="2">
        <v>2078</v>
      </c>
      <c r="C68" s="39">
        <f t="shared" si="9"/>
        <v>136147.21929013135</v>
      </c>
      <c r="D68" s="39">
        <f t="shared" si="10"/>
        <v>10251.137048738346</v>
      </c>
      <c r="E68" s="39">
        <f t="shared" si="3"/>
        <v>500.28724999999997</v>
      </c>
      <c r="F68" s="39">
        <f t="shared" si="4"/>
        <v>75209.606677115109</v>
      </c>
      <c r="G68" s="41">
        <f t="shared" si="0"/>
        <v>222108.2502659848</v>
      </c>
    </row>
    <row r="69" spans="2:7" ht="13" x14ac:dyDescent="0.3">
      <c r="B69" s="2">
        <v>2079</v>
      </c>
      <c r="C69" s="39">
        <f t="shared" si="9"/>
        <v>139591.74393817168</v>
      </c>
      <c r="D69" s="39">
        <f t="shared" si="10"/>
        <v>10306.493188801534</v>
      </c>
      <c r="E69" s="39">
        <f t="shared" si="3"/>
        <v>500.28724999999997</v>
      </c>
      <c r="F69" s="39">
        <f t="shared" si="4"/>
        <v>77872.026753484985</v>
      </c>
      <c r="G69" s="41">
        <f t="shared" si="0"/>
        <v>228270.55113045819</v>
      </c>
    </row>
    <row r="70" spans="2:7" ht="13" x14ac:dyDescent="0.3">
      <c r="B70" s="2">
        <v>2080</v>
      </c>
      <c r="C70" s="39">
        <f t="shared" si="9"/>
        <v>143123.41505980745</v>
      </c>
      <c r="D70" s="39">
        <f t="shared" si="10"/>
        <v>10362.148252021063</v>
      </c>
      <c r="E70" s="39">
        <f t="shared" si="3"/>
        <v>500.28724999999997</v>
      </c>
      <c r="F70" s="39">
        <f t="shared" si="4"/>
        <v>80628.696500558362</v>
      </c>
      <c r="G70" s="41">
        <f t="shared" si="0"/>
        <v>234614.54706238688</v>
      </c>
    </row>
    <row r="71" spans="2:7" ht="13" x14ac:dyDescent="0.3">
      <c r="B71" s="2">
        <v>2081</v>
      </c>
      <c r="C71" s="39">
        <f t="shared" si="9"/>
        <v>146744.4374608206</v>
      </c>
      <c r="D71" s="39">
        <f t="shared" si="10"/>
        <v>10418.103852581977</v>
      </c>
      <c r="E71" s="39">
        <f t="shared" si="3"/>
        <v>500.28724999999997</v>
      </c>
      <c r="F71" s="39">
        <f t="shared" si="4"/>
        <v>83482.952356678143</v>
      </c>
      <c r="G71" s="41">
        <f t="shared" si="0"/>
        <v>241145.78092008072</v>
      </c>
    </row>
    <row r="72" spans="2:7" ht="13" x14ac:dyDescent="0.3">
      <c r="B72" s="2">
        <v>2082</v>
      </c>
      <c r="C72" s="39">
        <f>C71*(1+$C$4)</f>
        <v>150457.07172857938</v>
      </c>
      <c r="D72" s="39">
        <f>D71*(1+$C$5)</f>
        <v>10474.36161338592</v>
      </c>
      <c r="E72" s="39">
        <f t="shared" si="3"/>
        <v>500.28724999999997</v>
      </c>
      <c r="F72" s="39">
        <f t="shared" si="4"/>
        <v>86438.248870104551</v>
      </c>
      <c r="G72" s="41">
        <f t="shared" si="0"/>
        <v>247869.96946206986</v>
      </c>
    </row>
    <row r="73" spans="2:7" ht="13" x14ac:dyDescent="0.3">
      <c r="B73" s="2">
        <v>2083</v>
      </c>
      <c r="C73" s="39">
        <f>C72*(1+$C$4)</f>
        <v>154263.63564331245</v>
      </c>
      <c r="D73" s="39">
        <f>D72*(1+$C$5)</f>
        <v>10530.923166098204</v>
      </c>
      <c r="E73" s="39">
        <f t="shared" si="3"/>
        <v>500.28724999999997</v>
      </c>
      <c r="F73" s="39">
        <f t="shared" si="4"/>
        <v>89498.162880106262</v>
      </c>
      <c r="G73" s="41">
        <f t="shared" si="0"/>
        <v>254793.00893951691</v>
      </c>
    </row>
    <row r="74" spans="2:7" ht="13" x14ac:dyDescent="0.3">
      <c r="B74" s="2">
        <v>2084</v>
      </c>
      <c r="C74" s="39">
        <f t="shared" ref="C74:C130" si="11">C73*(1+$C$4)</f>
        <v>158166.50562508826</v>
      </c>
      <c r="D74" s="39">
        <f t="shared" ref="D74:D130" si="12">D73*(1+$C$5)</f>
        <v>10587.790151195135</v>
      </c>
      <c r="E74" s="39">
        <f t="shared" si="3"/>
        <v>500.28724999999997</v>
      </c>
      <c r="F74" s="39">
        <f t="shared" si="4"/>
        <v>92666.397846062027</v>
      </c>
      <c r="G74" s="41">
        <f t="shared" si="0"/>
        <v>261920.98087234542</v>
      </c>
    </row>
    <row r="75" spans="2:7" ht="13" x14ac:dyDescent="0.3">
      <c r="B75" s="2">
        <v>2085</v>
      </c>
      <c r="C75" s="39">
        <f t="shared" si="11"/>
        <v>162168.11821740301</v>
      </c>
      <c r="D75" s="39">
        <f t="shared" si="12"/>
        <v>10644.96421801159</v>
      </c>
      <c r="E75" s="39">
        <f t="shared" si="3"/>
        <v>500.28724999999997</v>
      </c>
      <c r="F75" s="39">
        <f t="shared" si="4"/>
        <v>95946.788329812625</v>
      </c>
      <c r="G75" s="41">
        <f t="shared" ref="G75:G130" si="13">SUM(C75:F75)</f>
        <v>269260.15801522724</v>
      </c>
    </row>
    <row r="76" spans="2:7" ht="13" x14ac:dyDescent="0.3">
      <c r="B76" s="2">
        <v>2086</v>
      </c>
      <c r="C76" s="39">
        <f t="shared" si="11"/>
        <v>166270.97160830331</v>
      </c>
      <c r="D76" s="39">
        <f t="shared" si="12"/>
        <v>10702.447024788853</v>
      </c>
      <c r="E76" s="39">
        <f t="shared" si="3"/>
        <v>500.28724999999997</v>
      </c>
      <c r="F76" s="39">
        <f t="shared" si="4"/>
        <v>99343.304636688001</v>
      </c>
      <c r="G76" s="41">
        <f t="shared" si="13"/>
        <v>276817.01051978016</v>
      </c>
    </row>
    <row r="77" spans="2:7" ht="13" x14ac:dyDescent="0.3">
      <c r="B77" s="2">
        <v>2087</v>
      </c>
      <c r="C77" s="39">
        <f t="shared" si="11"/>
        <v>170477.62718999339</v>
      </c>
      <c r="D77" s="39">
        <f t="shared" si="12"/>
        <v>10760.240238722714</v>
      </c>
      <c r="E77" s="39">
        <f t="shared" si="3"/>
        <v>500.28724999999997</v>
      </c>
      <c r="F77" s="39">
        <f t="shared" si="4"/>
        <v>102860.05762082676</v>
      </c>
      <c r="G77" s="41">
        <f t="shared" si="13"/>
        <v>284598.21229954285</v>
      </c>
    </row>
    <row r="78" spans="2:7" ht="13" x14ac:dyDescent="0.3">
      <c r="B78" s="2">
        <v>2088</v>
      </c>
      <c r="C78" s="39">
        <f t="shared" si="11"/>
        <v>174790.71115790025</v>
      </c>
      <c r="D78" s="39">
        <f t="shared" si="12"/>
        <v>10818.345536011817</v>
      </c>
      <c r="E78" s="39">
        <f t="shared" si="3"/>
        <v>500.28724999999997</v>
      </c>
      <c r="F78" s="39">
        <f t="shared" si="4"/>
        <v>106501.30366060404</v>
      </c>
      <c r="G78" s="41">
        <f t="shared" si="13"/>
        <v>292610.64760451613</v>
      </c>
    </row>
    <row r="79" spans="2:7" ht="13" x14ac:dyDescent="0.3">
      <c r="B79" s="2">
        <v>2089</v>
      </c>
      <c r="C79" s="39">
        <f t="shared" si="11"/>
        <v>179212.91615019515</v>
      </c>
      <c r="D79" s="39">
        <f t="shared" si="12"/>
        <v>10876.764601906281</v>
      </c>
      <c r="E79" s="39">
        <f t="shared" si="3"/>
        <v>500.28724999999997</v>
      </c>
      <c r="F79" s="39">
        <f t="shared" si="4"/>
        <v>110271.44981018943</v>
      </c>
      <c r="G79" s="41">
        <f t="shared" si="13"/>
        <v>300861.41781229083</v>
      </c>
    </row>
    <row r="80" spans="2:7" ht="13" x14ac:dyDescent="0.3">
      <c r="B80" s="2">
        <v>2090</v>
      </c>
      <c r="C80" s="39">
        <f t="shared" si="11"/>
        <v>183747.00292879509</v>
      </c>
      <c r="D80" s="39">
        <f t="shared" si="12"/>
        <v>10935.499130756576</v>
      </c>
      <c r="E80" s="39">
        <f t="shared" ref="E80:E130" si="14">E79*(1+$C$6)</f>
        <v>500.28724999999997</v>
      </c>
      <c r="F80" s="39">
        <f t="shared" ref="F80:F130" si="15">F79*(1+$C$7)</f>
        <v>114175.05913347015</v>
      </c>
      <c r="G80" s="41">
        <f t="shared" si="13"/>
        <v>309357.84844302176</v>
      </c>
    </row>
    <row r="81" spans="2:7" ht="13" x14ac:dyDescent="0.3">
      <c r="B81" s="2">
        <v>2091</v>
      </c>
      <c r="C81" s="39">
        <f t="shared" si="11"/>
        <v>188395.80210289362</v>
      </c>
      <c r="D81" s="39">
        <f t="shared" si="12"/>
        <v>10994.550826062663</v>
      </c>
      <c r="E81" s="39">
        <f t="shared" si="14"/>
        <v>500.28724999999997</v>
      </c>
      <c r="F81" s="39">
        <f t="shared" si="15"/>
        <v>118216.856226795</v>
      </c>
      <c r="G81" s="41">
        <f t="shared" si="13"/>
        <v>318107.49640575127</v>
      </c>
    </row>
    <row r="82" spans="2:7" ht="13" x14ac:dyDescent="0.3">
      <c r="B82" s="2">
        <v>2092</v>
      </c>
      <c r="C82" s="39">
        <f t="shared" si="11"/>
        <v>193162.21589609684</v>
      </c>
      <c r="D82" s="39">
        <f t="shared" si="12"/>
        <v>11053.921400523403</v>
      </c>
      <c r="E82" s="39">
        <f t="shared" si="14"/>
        <v>500.28724999999997</v>
      </c>
      <c r="F82" s="39">
        <f t="shared" si="15"/>
        <v>122401.73293722355</v>
      </c>
      <c r="G82" s="41">
        <f t="shared" si="13"/>
        <v>327118.1574838438</v>
      </c>
    </row>
    <row r="83" spans="2:7" ht="13" x14ac:dyDescent="0.3">
      <c r="B83" s="2">
        <v>2093</v>
      </c>
      <c r="C83" s="39">
        <f t="shared" si="11"/>
        <v>198049.21995826811</v>
      </c>
      <c r="D83" s="39">
        <f t="shared" si="12"/>
        <v>11113.612576086231</v>
      </c>
      <c r="E83" s="39">
        <f t="shared" si="14"/>
        <v>500.28724999999997</v>
      </c>
      <c r="F83" s="39">
        <f t="shared" si="15"/>
        <v>126734.75428320128</v>
      </c>
      <c r="G83" s="41">
        <f t="shared" si="13"/>
        <v>336397.87406755559</v>
      </c>
    </row>
    <row r="84" spans="2:7" ht="13" x14ac:dyDescent="0.3">
      <c r="B84" s="2">
        <v>2094</v>
      </c>
      <c r="C84" s="39">
        <f t="shared" si="11"/>
        <v>203059.86522321231</v>
      </c>
      <c r="D84" s="39">
        <f t="shared" si="12"/>
        <v>11173.626083997096</v>
      </c>
      <c r="E84" s="39">
        <f t="shared" si="14"/>
        <v>500.28724999999997</v>
      </c>
      <c r="F84" s="39">
        <f t="shared" si="15"/>
        <v>131221.16458482662</v>
      </c>
      <c r="G84" s="41">
        <f t="shared" si="13"/>
        <v>345954.94314203603</v>
      </c>
    </row>
    <row r="85" spans="2:7" ht="13" x14ac:dyDescent="0.3">
      <c r="B85" s="2">
        <v>2095</v>
      </c>
      <c r="C85" s="39">
        <f t="shared" si="11"/>
        <v>208197.27981335961</v>
      </c>
      <c r="D85" s="39">
        <f t="shared" si="12"/>
        <v>11233.963664850682</v>
      </c>
      <c r="E85" s="39">
        <f t="shared" si="14"/>
        <v>500.28724999999997</v>
      </c>
      <c r="F85" s="39">
        <f t="shared" si="15"/>
        <v>135866.3938111295</v>
      </c>
      <c r="G85" s="41">
        <f t="shared" si="13"/>
        <v>355797.92453933979</v>
      </c>
    </row>
    <row r="86" spans="2:7" ht="13" x14ac:dyDescent="0.3">
      <c r="B86" s="2">
        <v>2096</v>
      </c>
      <c r="C86" s="39">
        <f t="shared" si="11"/>
        <v>213464.67099263764</v>
      </c>
      <c r="D86" s="39">
        <f t="shared" si="12"/>
        <v>11294.627068640877</v>
      </c>
      <c r="E86" s="39">
        <f t="shared" si="14"/>
        <v>500.28724999999997</v>
      </c>
      <c r="F86" s="39">
        <f t="shared" si="15"/>
        <v>140676.06415204349</v>
      </c>
      <c r="G86" s="41">
        <f t="shared" si="13"/>
        <v>365935.64946332201</v>
      </c>
    </row>
    <row r="87" spans="2:7" ht="13" x14ac:dyDescent="0.3">
      <c r="B87" s="2">
        <v>2097</v>
      </c>
      <c r="C87" s="39">
        <f t="shared" si="11"/>
        <v>218865.32716875139</v>
      </c>
      <c r="D87" s="39">
        <f t="shared" si="12"/>
        <v>11355.618054811539</v>
      </c>
      <c r="E87" s="39">
        <f t="shared" si="14"/>
        <v>500.28724999999997</v>
      </c>
      <c r="F87" s="39">
        <f t="shared" si="15"/>
        <v>145655.99682302584</v>
      </c>
      <c r="G87" s="41">
        <f t="shared" si="13"/>
        <v>376377.2292965888</v>
      </c>
    </row>
    <row r="88" spans="2:7" ht="13" x14ac:dyDescent="0.3">
      <c r="B88" s="2">
        <v>2098</v>
      </c>
      <c r="C88" s="39">
        <f t="shared" si="11"/>
        <v>224402.61994612083</v>
      </c>
      <c r="D88" s="39">
        <f t="shared" si="12"/>
        <v>11416.938392307522</v>
      </c>
      <c r="E88" s="39">
        <f t="shared" si="14"/>
        <v>500.28724999999997</v>
      </c>
      <c r="F88" s="39">
        <f t="shared" si="15"/>
        <v>150812.21911056095</v>
      </c>
      <c r="G88" s="41">
        <f t="shared" si="13"/>
        <v>387132.06469898927</v>
      </c>
    </row>
    <row r="89" spans="2:7" ht="13" x14ac:dyDescent="0.3">
      <c r="B89" s="2">
        <v>2099</v>
      </c>
      <c r="C89" s="39">
        <f t="shared" si="11"/>
        <v>230080.00623075772</v>
      </c>
      <c r="D89" s="39">
        <f t="shared" si="12"/>
        <v>11478.589859625983</v>
      </c>
      <c r="E89" s="39">
        <f t="shared" si="14"/>
        <v>500.28724999999997</v>
      </c>
      <c r="F89" s="39">
        <f t="shared" si="15"/>
        <v>156150.97166707483</v>
      </c>
      <c r="G89" s="41">
        <f t="shared" si="13"/>
        <v>398209.85500745854</v>
      </c>
    </row>
    <row r="90" spans="2:7" ht="13" x14ac:dyDescent="0.3">
      <c r="B90" s="2">
        <v>2100</v>
      </c>
      <c r="C90" s="39">
        <f t="shared" si="11"/>
        <v>235901.03038839591</v>
      </c>
      <c r="D90" s="39">
        <f t="shared" si="12"/>
        <v>11540.574244867965</v>
      </c>
      <c r="E90" s="39">
        <f t="shared" si="14"/>
        <v>500.28724999999997</v>
      </c>
      <c r="F90" s="39">
        <f t="shared" si="15"/>
        <v>161678.7160640893</v>
      </c>
      <c r="G90" s="41">
        <f t="shared" si="13"/>
        <v>409620.60794735316</v>
      </c>
    </row>
    <row r="91" spans="2:7" ht="13" x14ac:dyDescent="0.3">
      <c r="B91" s="2">
        <v>2101</v>
      </c>
      <c r="C91" s="39">
        <f t="shared" si="11"/>
        <v>241869.32645722234</v>
      </c>
      <c r="D91" s="39">
        <f t="shared" si="12"/>
        <v>11602.893345790253</v>
      </c>
      <c r="E91" s="39">
        <f t="shared" si="14"/>
        <v>500.28724999999997</v>
      </c>
      <c r="F91" s="39">
        <f t="shared" si="15"/>
        <v>167402.14261275806</v>
      </c>
      <c r="G91" s="41">
        <f t="shared" si="13"/>
        <v>421374.64966577064</v>
      </c>
    </row>
    <row r="92" spans="2:7" ht="13" x14ac:dyDescent="0.3">
      <c r="B92" s="2">
        <v>2102</v>
      </c>
      <c r="C92" s="39">
        <f t="shared" si="11"/>
        <v>247988.6204165901</v>
      </c>
      <c r="D92" s="39">
        <f t="shared" si="12"/>
        <v>11665.548969857522</v>
      </c>
      <c r="E92" s="39">
        <f t="shared" si="14"/>
        <v>500.28724999999997</v>
      </c>
      <c r="F92" s="39">
        <f t="shared" si="15"/>
        <v>173328.17846124971</v>
      </c>
      <c r="G92" s="41">
        <f t="shared" si="13"/>
        <v>433482.63509769732</v>
      </c>
    </row>
    <row r="93" spans="2:7" ht="13" x14ac:dyDescent="0.3">
      <c r="B93" s="2">
        <v>2103</v>
      </c>
      <c r="C93" s="39">
        <f t="shared" si="11"/>
        <v>254262.73251312986</v>
      </c>
      <c r="D93" s="39">
        <f t="shared" si="12"/>
        <v>11728.542934294754</v>
      </c>
      <c r="E93" s="39">
        <f t="shared" si="14"/>
        <v>500.28724999999997</v>
      </c>
      <c r="F93" s="39">
        <f t="shared" si="15"/>
        <v>179463.99597877797</v>
      </c>
      <c r="G93" s="41">
        <f t="shared" si="13"/>
        <v>445955.55867620255</v>
      </c>
    </row>
    <row r="94" spans="2:7" ht="13" x14ac:dyDescent="0.3">
      <c r="B94" s="2">
        <v>2104</v>
      </c>
      <c r="C94" s="39">
        <f t="shared" si="11"/>
        <v>260695.57964571207</v>
      </c>
      <c r="D94" s="39">
        <f t="shared" si="12"/>
        <v>11791.877066139947</v>
      </c>
      <c r="E94" s="39">
        <f t="shared" si="14"/>
        <v>500.28724999999997</v>
      </c>
      <c r="F94" s="39">
        <f t="shared" si="15"/>
        <v>185817.02143642673</v>
      </c>
      <c r="G94" s="41">
        <f t="shared" si="13"/>
        <v>458804.76539827872</v>
      </c>
    </row>
    <row r="95" spans="2:7" ht="13" x14ac:dyDescent="0.3">
      <c r="B95" s="2">
        <v>2105</v>
      </c>
      <c r="C95" s="39">
        <f t="shared" si="11"/>
        <v>267291.17781074863</v>
      </c>
      <c r="D95" s="39">
        <f t="shared" si="12"/>
        <v>11855.553202297104</v>
      </c>
      <c r="E95" s="39">
        <f t="shared" si="14"/>
        <v>500.28724999999997</v>
      </c>
      <c r="F95" s="39">
        <f t="shared" si="15"/>
        <v>192394.94399527626</v>
      </c>
      <c r="G95" s="41">
        <f t="shared" si="13"/>
        <v>472041.96225832205</v>
      </c>
    </row>
    <row r="96" spans="2:7" ht="13" x14ac:dyDescent="0.3">
      <c r="B96" s="2">
        <v>2106</v>
      </c>
      <c r="C96" s="39">
        <f t="shared" si="11"/>
        <v>274053.64460936061</v>
      </c>
      <c r="D96" s="39">
        <f t="shared" si="12"/>
        <v>11919.57318958951</v>
      </c>
      <c r="E96" s="39">
        <f t="shared" si="14"/>
        <v>500.28724999999997</v>
      </c>
      <c r="F96" s="39">
        <f t="shared" si="15"/>
        <v>199205.72501270907</v>
      </c>
      <c r="G96" s="41">
        <f t="shared" si="13"/>
        <v>485679.23006165912</v>
      </c>
    </row>
    <row r="97" spans="2:7" ht="13" x14ac:dyDescent="0.3">
      <c r="B97" s="2">
        <v>2107</v>
      </c>
      <c r="C97" s="39">
        <f t="shared" si="11"/>
        <v>280987.20181797748</v>
      </c>
      <c r="D97" s="39">
        <f t="shared" si="12"/>
        <v>11983.938884813293</v>
      </c>
      <c r="E97" s="39">
        <f t="shared" si="14"/>
        <v>500.28724999999997</v>
      </c>
      <c r="F97" s="39">
        <f t="shared" si="15"/>
        <v>206257.60767815899</v>
      </c>
      <c r="G97" s="41">
        <f t="shared" si="13"/>
        <v>499729.03563094977</v>
      </c>
    </row>
    <row r="98" spans="2:7" ht="13" x14ac:dyDescent="0.3">
      <c r="B98" s="2">
        <v>2108</v>
      </c>
      <c r="C98" s="39">
        <f t="shared" si="11"/>
        <v>288096.17802397232</v>
      </c>
      <c r="D98" s="39">
        <f t="shared" si="12"/>
        <v>12048.652154791285</v>
      </c>
      <c r="E98" s="39">
        <f t="shared" si="14"/>
        <v>500.28724999999997</v>
      </c>
      <c r="F98" s="39">
        <f t="shared" si="15"/>
        <v>213559.12698996585</v>
      </c>
      <c r="G98" s="41">
        <f t="shared" si="13"/>
        <v>514204.24441872945</v>
      </c>
    </row>
    <row r="99" spans="2:7" ht="13" x14ac:dyDescent="0.3">
      <c r="B99" s="2">
        <v>2109</v>
      </c>
      <c r="C99" s="39">
        <f t="shared" si="11"/>
        <v>295385.01132797886</v>
      </c>
      <c r="D99" s="39">
        <f t="shared" si="12"/>
        <v>12113.714876427159</v>
      </c>
      <c r="E99" s="39">
        <f t="shared" si="14"/>
        <v>500.28724999999997</v>
      </c>
      <c r="F99" s="39">
        <f t="shared" si="15"/>
        <v>221119.12008541066</v>
      </c>
      <c r="G99" s="41">
        <f t="shared" si="13"/>
        <v>529118.1335398166</v>
      </c>
    </row>
    <row r="100" spans="2:7" ht="13" x14ac:dyDescent="0.3">
      <c r="B100" s="2">
        <v>2110</v>
      </c>
      <c r="C100" s="39">
        <f t="shared" si="11"/>
        <v>302858.25211457675</v>
      </c>
      <c r="D100" s="39">
        <f t="shared" si="12"/>
        <v>12179.128936759866</v>
      </c>
      <c r="E100" s="39">
        <f t="shared" si="14"/>
        <v>500.28724999999997</v>
      </c>
      <c r="F100" s="39">
        <f t="shared" si="15"/>
        <v>228946.73693643423</v>
      </c>
      <c r="G100" s="41">
        <f t="shared" si="13"/>
        <v>544484.40523777087</v>
      </c>
    </row>
    <row r="101" spans="2:7" ht="13" x14ac:dyDescent="0.3">
      <c r="B101" s="2">
        <v>2111</v>
      </c>
      <c r="C101" s="39">
        <f t="shared" si="11"/>
        <v>310520.5658930756</v>
      </c>
      <c r="D101" s="39">
        <f t="shared" si="12"/>
        <v>12244.896233018369</v>
      </c>
      <c r="E101" s="39">
        <f t="shared" si="14"/>
        <v>500.28724999999997</v>
      </c>
      <c r="F101" s="39">
        <f t="shared" si="15"/>
        <v>237051.45142398402</v>
      </c>
      <c r="G101" s="41">
        <f t="shared" si="13"/>
        <v>560317.20080007799</v>
      </c>
    </row>
    <row r="102" spans="2:7" ht="13" x14ac:dyDescent="0.3">
      <c r="B102" s="2">
        <v>2112</v>
      </c>
      <c r="C102" s="39">
        <f t="shared" si="11"/>
        <v>318376.73621017043</v>
      </c>
      <c r="D102" s="39">
        <f t="shared" si="12"/>
        <v>12311.01867267667</v>
      </c>
      <c r="E102" s="39">
        <f t="shared" si="14"/>
        <v>500.28724999999997</v>
      </c>
      <c r="F102" s="39">
        <f t="shared" si="15"/>
        <v>245443.07280439307</v>
      </c>
      <c r="G102" s="41">
        <f t="shared" si="13"/>
        <v>576631.11493724014</v>
      </c>
    </row>
    <row r="103" spans="2:7" ht="13" x14ac:dyDescent="0.3">
      <c r="B103" s="2">
        <v>2113</v>
      </c>
      <c r="C103" s="39">
        <f t="shared" si="11"/>
        <v>326431.66763628781</v>
      </c>
      <c r="D103" s="39">
        <f t="shared" si="12"/>
        <v>12377.498173509124</v>
      </c>
      <c r="E103" s="39">
        <f t="shared" si="14"/>
        <v>500.28724999999997</v>
      </c>
      <c r="F103" s="39">
        <f t="shared" si="15"/>
        <v>254131.75758166861</v>
      </c>
      <c r="G103" s="41">
        <f t="shared" si="13"/>
        <v>593441.21064146562</v>
      </c>
    </row>
    <row r="104" spans="2:7" ht="13" x14ac:dyDescent="0.3">
      <c r="B104" s="2">
        <v>2114</v>
      </c>
      <c r="C104" s="39">
        <f t="shared" si="11"/>
        <v>334690.38882748591</v>
      </c>
      <c r="D104" s="39">
        <f t="shared" si="12"/>
        <v>12444.336663646074</v>
      </c>
      <c r="E104" s="39">
        <f t="shared" si="14"/>
        <v>500.28724999999997</v>
      </c>
      <c r="F104" s="39">
        <f t="shared" si="15"/>
        <v>263128.02180005971</v>
      </c>
      <c r="G104" s="41">
        <f t="shared" si="13"/>
        <v>610763.03454119177</v>
      </c>
    </row>
    <row r="105" spans="2:7" ht="13" x14ac:dyDescent="0.3">
      <c r="B105" s="2">
        <v>2115</v>
      </c>
      <c r="C105" s="39">
        <f t="shared" si="11"/>
        <v>343158.05566482135</v>
      </c>
      <c r="D105" s="39">
        <f t="shared" si="12"/>
        <v>12511.536081629763</v>
      </c>
      <c r="E105" s="39">
        <f t="shared" si="14"/>
        <v>500.28724999999997</v>
      </c>
      <c r="F105" s="39">
        <f t="shared" si="15"/>
        <v>272442.75377178186</v>
      </c>
      <c r="G105" s="41">
        <f t="shared" si="13"/>
        <v>628612.63276823296</v>
      </c>
    </row>
    <row r="106" spans="2:7" ht="13" x14ac:dyDescent="0.3">
      <c r="B106" s="2">
        <v>2116</v>
      </c>
      <c r="C106" s="39">
        <f t="shared" si="11"/>
        <v>351839.95447314135</v>
      </c>
      <c r="D106" s="39">
        <f t="shared" si="12"/>
        <v>12579.098376470565</v>
      </c>
      <c r="E106" s="39">
        <f t="shared" si="14"/>
        <v>500.28724999999997</v>
      </c>
      <c r="F106" s="39">
        <f t="shared" si="15"/>
        <v>282087.22725530295</v>
      </c>
      <c r="G106" s="41">
        <f t="shared" si="13"/>
        <v>647006.56735491485</v>
      </c>
    </row>
    <row r="107" spans="2:7" ht="13" x14ac:dyDescent="0.3">
      <c r="B107" s="2">
        <v>2117</v>
      </c>
      <c r="C107" s="39">
        <f t="shared" si="11"/>
        <v>360741.50532131188</v>
      </c>
      <c r="D107" s="39">
        <f t="shared" si="12"/>
        <v>12647.025507703507</v>
      </c>
      <c r="E107" s="39">
        <f t="shared" si="14"/>
        <v>500.28724999999997</v>
      </c>
      <c r="F107" s="39">
        <f t="shared" si="15"/>
        <v>292073.11510014068</v>
      </c>
      <c r="G107" s="41">
        <f t="shared" si="13"/>
        <v>665961.93317915604</v>
      </c>
    </row>
    <row r="108" spans="2:7" ht="13" x14ac:dyDescent="0.3">
      <c r="B108" s="2">
        <v>2118</v>
      </c>
      <c r="C108" s="39">
        <f t="shared" si="11"/>
        <v>369868.26540594111</v>
      </c>
      <c r="D108" s="39">
        <f t="shared" si="12"/>
        <v>12715.319445445108</v>
      </c>
      <c r="E108" s="39">
        <f t="shared" si="14"/>
        <v>500.28724999999997</v>
      </c>
      <c r="F108" s="39">
        <f t="shared" si="15"/>
        <v>302412.50337468571</v>
      </c>
      <c r="G108" s="41">
        <f t="shared" si="13"/>
        <v>685496.37547607184</v>
      </c>
    </row>
    <row r="109" spans="2:7" ht="13" x14ac:dyDescent="0.3">
      <c r="B109" s="2">
        <v>2119</v>
      </c>
      <c r="C109" s="39">
        <f t="shared" si="11"/>
        <v>379225.93252071145</v>
      </c>
      <c r="D109" s="39">
        <f t="shared" si="12"/>
        <v>12783.982170450512</v>
      </c>
      <c r="E109" s="39">
        <f t="shared" si="14"/>
        <v>500.28724999999997</v>
      </c>
      <c r="F109" s="39">
        <f t="shared" si="15"/>
        <v>313117.90599414962</v>
      </c>
      <c r="G109" s="41">
        <f t="shared" si="13"/>
        <v>705628.10793531151</v>
      </c>
    </row>
    <row r="110" spans="2:7" ht="13" x14ac:dyDescent="0.3">
      <c r="B110" s="2">
        <v>2120</v>
      </c>
      <c r="C110" s="39">
        <f t="shared" si="11"/>
        <v>388820.34861348546</v>
      </c>
      <c r="D110" s="39">
        <f t="shared" si="12"/>
        <v>12853.015674170945</v>
      </c>
      <c r="E110" s="39">
        <f t="shared" si="14"/>
        <v>500.28724999999997</v>
      </c>
      <c r="F110" s="39">
        <f t="shared" si="15"/>
        <v>324202.27986634255</v>
      </c>
      <c r="G110" s="41">
        <f t="shared" si="13"/>
        <v>726375.93140399898</v>
      </c>
    </row>
    <row r="111" spans="2:7" ht="13" x14ac:dyDescent="0.3">
      <c r="B111" s="2">
        <v>2121</v>
      </c>
      <c r="C111" s="39">
        <f t="shared" si="11"/>
        <v>398657.5034334067</v>
      </c>
      <c r="D111" s="39">
        <f t="shared" si="12"/>
        <v>12922.421958811468</v>
      </c>
      <c r="E111" s="39">
        <f t="shared" si="14"/>
        <v>500.28724999999997</v>
      </c>
      <c r="F111" s="39">
        <f t="shared" si="15"/>
        <v>335679.0405736111</v>
      </c>
      <c r="G111" s="41">
        <f t="shared" si="13"/>
        <v>747759.25321582926</v>
      </c>
    </row>
    <row r="112" spans="2:7" ht="13" x14ac:dyDescent="0.3">
      <c r="B112" s="2">
        <v>2122</v>
      </c>
      <c r="C112" s="39">
        <f t="shared" si="11"/>
        <v>408743.53827027191</v>
      </c>
      <c r="D112" s="39">
        <f t="shared" si="12"/>
        <v>12992.203037389052</v>
      </c>
      <c r="E112" s="39">
        <f t="shared" si="14"/>
        <v>500.28724999999997</v>
      </c>
      <c r="F112" s="39">
        <f t="shared" si="15"/>
        <v>347562.07860991696</v>
      </c>
      <c r="G112" s="41">
        <f t="shared" si="13"/>
        <v>769798.10716757784</v>
      </c>
    </row>
    <row r="113" spans="2:7" ht="13" x14ac:dyDescent="0.3">
      <c r="B113" s="2">
        <v>2123</v>
      </c>
      <c r="C113" s="39">
        <f t="shared" si="11"/>
        <v>419084.7497885098</v>
      </c>
      <c r="D113" s="39">
        <f t="shared" si="12"/>
        <v>13062.360933790955</v>
      </c>
      <c r="E113" s="39">
        <f t="shared" si="14"/>
        <v>500.28724999999997</v>
      </c>
      <c r="F113" s="39">
        <f t="shared" si="15"/>
        <v>359865.77619270806</v>
      </c>
      <c r="G113" s="41">
        <f t="shared" si="13"/>
        <v>792513.17416500882</v>
      </c>
    </row>
    <row r="114" spans="2:7" ht="13" x14ac:dyDescent="0.3">
      <c r="B114" s="2">
        <v>2124</v>
      </c>
      <c r="C114" s="39">
        <f t="shared" si="11"/>
        <v>429687.59395815915</v>
      </c>
      <c r="D114" s="39">
        <f t="shared" si="12"/>
        <v>13132.897682833427</v>
      </c>
      <c r="E114" s="39">
        <f t="shared" si="14"/>
        <v>500.28724999999997</v>
      </c>
      <c r="F114" s="39">
        <f t="shared" si="15"/>
        <v>372605.02466992993</v>
      </c>
      <c r="G114" s="41">
        <f t="shared" si="13"/>
        <v>815925.8035609225</v>
      </c>
    </row>
    <row r="115" spans="2:7" ht="13" x14ac:dyDescent="0.3">
      <c r="B115" s="2">
        <v>2125</v>
      </c>
      <c r="C115" s="39">
        <f t="shared" si="11"/>
        <v>440558.69008530059</v>
      </c>
      <c r="D115" s="39">
        <f t="shared" si="12"/>
        <v>13203.815330320729</v>
      </c>
      <c r="E115" s="39">
        <f t="shared" si="14"/>
        <v>500.28724999999997</v>
      </c>
      <c r="F115" s="39">
        <f t="shared" si="15"/>
        <v>385795.24254324549</v>
      </c>
      <c r="G115" s="41">
        <f t="shared" si="13"/>
        <v>840058.03520886682</v>
      </c>
    </row>
    <row r="116" spans="2:7" ht="13" x14ac:dyDescent="0.3">
      <c r="B116" s="2">
        <v>2126</v>
      </c>
      <c r="C116" s="39">
        <f t="shared" si="11"/>
        <v>451704.82494445873</v>
      </c>
      <c r="D116" s="39">
        <f t="shared" si="12"/>
        <v>13275.115933104462</v>
      </c>
      <c r="E116" s="39">
        <f t="shared" si="14"/>
        <v>500.28724999999997</v>
      </c>
      <c r="F116" s="39">
        <f t="shared" si="15"/>
        <v>399452.39412927639</v>
      </c>
      <c r="G116" s="41">
        <f t="shared" si="13"/>
        <v>864932.62225683965</v>
      </c>
    </row>
    <row r="117" spans="2:7" ht="13" x14ac:dyDescent="0.3">
      <c r="B117" s="2">
        <v>2127</v>
      </c>
      <c r="C117" s="39">
        <f t="shared" si="11"/>
        <v>463132.95701555361</v>
      </c>
      <c r="D117" s="39">
        <f t="shared" si="12"/>
        <v>13346.801559143227</v>
      </c>
      <c r="E117" s="39">
        <f t="shared" si="14"/>
        <v>500.28724999999997</v>
      </c>
      <c r="F117" s="39">
        <f t="shared" si="15"/>
        <v>413593.00888145284</v>
      </c>
      <c r="G117" s="41">
        <f t="shared" si="13"/>
        <v>890573.05470614973</v>
      </c>
    </row>
    <row r="118" spans="2:7" ht="13" x14ac:dyDescent="0.3">
      <c r="B118" s="2">
        <v>2128</v>
      </c>
      <c r="C118" s="39">
        <f t="shared" si="11"/>
        <v>474850.22082804714</v>
      </c>
      <c r="D118" s="39">
        <f t="shared" si="12"/>
        <v>13418.874287562601</v>
      </c>
      <c r="E118" s="39">
        <f t="shared" si="14"/>
        <v>500.28724999999997</v>
      </c>
      <c r="F118" s="39">
        <f t="shared" si="15"/>
        <v>428234.20139585633</v>
      </c>
      <c r="G118" s="41">
        <f t="shared" si="13"/>
        <v>917003.58376146608</v>
      </c>
    </row>
    <row r="119" spans="2:7" ht="13" x14ac:dyDescent="0.3">
      <c r="B119" s="2">
        <v>2129</v>
      </c>
      <c r="C119" s="39">
        <f t="shared" si="11"/>
        <v>486863.9314149968</v>
      </c>
      <c r="D119" s="39">
        <f t="shared" si="12"/>
        <v>13491.33620871544</v>
      </c>
      <c r="E119" s="39">
        <f t="shared" si="14"/>
        <v>500.28724999999997</v>
      </c>
      <c r="F119" s="39">
        <f t="shared" si="15"/>
        <v>443393.69212526968</v>
      </c>
      <c r="G119" s="41">
        <f t="shared" si="13"/>
        <v>944249.24699898192</v>
      </c>
    </row>
    <row r="120" spans="2:7" ht="13" x14ac:dyDescent="0.3">
      <c r="B120" s="2">
        <v>2130</v>
      </c>
      <c r="C120" s="39">
        <f t="shared" si="11"/>
        <v>499181.58887979627</v>
      </c>
      <c r="D120" s="39">
        <f t="shared" si="12"/>
        <v>13564.189424242504</v>
      </c>
      <c r="E120" s="39">
        <f t="shared" si="14"/>
        <v>500.28724999999997</v>
      </c>
      <c r="F120" s="39">
        <f t="shared" si="15"/>
        <v>459089.82882650429</v>
      </c>
      <c r="G120" s="41">
        <f t="shared" si="13"/>
        <v>972335.89438054315</v>
      </c>
    </row>
    <row r="121" spans="2:7" ht="13" x14ac:dyDescent="0.3">
      <c r="B121" s="2">
        <v>2131</v>
      </c>
      <c r="C121" s="39">
        <f t="shared" si="11"/>
        <v>511810.88307845517</v>
      </c>
      <c r="D121" s="39">
        <f t="shared" si="12"/>
        <v>13637.436047133415</v>
      </c>
      <c r="E121" s="39">
        <f t="shared" si="14"/>
        <v>500.28724999999997</v>
      </c>
      <c r="F121" s="39">
        <f t="shared" si="15"/>
        <v>475341.6087669626</v>
      </c>
      <c r="G121" s="41">
        <f t="shared" si="13"/>
        <v>1001290.2151425513</v>
      </c>
    </row>
    <row r="122" spans="2:7" ht="13" x14ac:dyDescent="0.3">
      <c r="B122" s="2">
        <v>2132</v>
      </c>
      <c r="C122" s="39">
        <f t="shared" si="11"/>
        <v>524759.69842034008</v>
      </c>
      <c r="D122" s="39">
        <f t="shared" si="12"/>
        <v>13711.078201787936</v>
      </c>
      <c r="E122" s="39">
        <f t="shared" si="14"/>
        <v>500.28724999999997</v>
      </c>
      <c r="F122" s="39">
        <f t="shared" si="15"/>
        <v>492168.70171731315</v>
      </c>
      <c r="G122" s="41">
        <f t="shared" si="13"/>
        <v>1031139.7655894412</v>
      </c>
    </row>
    <row r="123" spans="2:7" ht="13" x14ac:dyDescent="0.3">
      <c r="B123" s="2">
        <v>2133</v>
      </c>
      <c r="C123" s="39">
        <f t="shared" si="11"/>
        <v>538036.11879037472</v>
      </c>
      <c r="D123" s="39">
        <f t="shared" si="12"/>
        <v>13785.118024077592</v>
      </c>
      <c r="E123" s="39">
        <f t="shared" si="14"/>
        <v>500.28724999999997</v>
      </c>
      <c r="F123" s="39">
        <f t="shared" si="15"/>
        <v>509591.47375810606</v>
      </c>
      <c r="G123" s="41">
        <f t="shared" si="13"/>
        <v>1061912.9978225585</v>
      </c>
    </row>
    <row r="124" spans="2:7" ht="13" x14ac:dyDescent="0.3">
      <c r="B124" s="2">
        <v>2134</v>
      </c>
      <c r="C124" s="39">
        <f t="shared" si="11"/>
        <v>551648.43259577127</v>
      </c>
      <c r="D124" s="39">
        <f t="shared" si="12"/>
        <v>13859.557661407613</v>
      </c>
      <c r="E124" s="39">
        <f t="shared" si="14"/>
        <v>500.28724999999997</v>
      </c>
      <c r="F124" s="39">
        <f t="shared" si="15"/>
        <v>527631.0119291431</v>
      </c>
      <c r="G124" s="41">
        <f t="shared" si="13"/>
        <v>1093639.2894363222</v>
      </c>
    </row>
    <row r="125" spans="2:7" ht="13" x14ac:dyDescent="0.3">
      <c r="B125" s="2">
        <v>2135</v>
      </c>
      <c r="C125" s="39">
        <f t="shared" si="11"/>
        <v>565605.13794044429</v>
      </c>
      <c r="D125" s="39">
        <f t="shared" si="12"/>
        <v>13934.399272779216</v>
      </c>
      <c r="E125" s="39">
        <f t="shared" si="14"/>
        <v>500.28724999999997</v>
      </c>
      <c r="F125" s="39">
        <f t="shared" si="15"/>
        <v>546309.1497514348</v>
      </c>
      <c r="G125" s="41">
        <f t="shared" si="13"/>
        <v>1126348.9742146584</v>
      </c>
    </row>
    <row r="126" spans="2:7" ht="13" x14ac:dyDescent="0.3">
      <c r="B126" s="2">
        <v>2136</v>
      </c>
      <c r="C126" s="39">
        <f t="shared" si="11"/>
        <v>579914.94793033763</v>
      </c>
      <c r="D126" s="39">
        <f t="shared" si="12"/>
        <v>14009.645028852225</v>
      </c>
      <c r="E126" s="39">
        <f t="shared" si="14"/>
        <v>500.28724999999997</v>
      </c>
      <c r="F126" s="39">
        <f t="shared" si="15"/>
        <v>565648.4936526356</v>
      </c>
      <c r="G126" s="41">
        <f t="shared" si="13"/>
        <v>1160073.3738618256</v>
      </c>
    </row>
    <row r="127" spans="2:7" ht="13" x14ac:dyDescent="0.3">
      <c r="B127" s="2">
        <v>2137</v>
      </c>
      <c r="C127" s="39">
        <f t="shared" si="11"/>
        <v>594586.79611297522</v>
      </c>
      <c r="D127" s="39">
        <f t="shared" si="12"/>
        <v>14085.297112008027</v>
      </c>
      <c r="E127" s="39">
        <f t="shared" si="14"/>
        <v>500.28724999999997</v>
      </c>
      <c r="F127" s="39">
        <f t="shared" si="15"/>
        <v>585672.450327939</v>
      </c>
      <c r="G127" s="41">
        <f t="shared" si="13"/>
        <v>1194844.8308029221</v>
      </c>
    </row>
    <row r="128" spans="2:7" ht="13" x14ac:dyDescent="0.3">
      <c r="B128" s="2">
        <v>2138</v>
      </c>
      <c r="C128" s="39">
        <f t="shared" si="11"/>
        <v>609629.84205463354</v>
      </c>
      <c r="D128" s="39">
        <f t="shared" si="12"/>
        <v>14161.357716412871</v>
      </c>
      <c r="E128" s="39">
        <f t="shared" si="14"/>
        <v>500.28724999999997</v>
      </c>
      <c r="F128" s="39">
        <f t="shared" si="15"/>
        <v>606405.25506954815</v>
      </c>
      <c r="G128" s="41">
        <f t="shared" si="13"/>
        <v>1230696.7420905945</v>
      </c>
    </row>
    <row r="129" spans="2:7" ht="13" x14ac:dyDescent="0.3">
      <c r="B129" s="2">
        <v>2139</v>
      </c>
      <c r="C129" s="39">
        <f t="shared" si="11"/>
        <v>625053.47705861588</v>
      </c>
      <c r="D129" s="39">
        <f t="shared" si="12"/>
        <v>14237.829048081501</v>
      </c>
      <c r="E129" s="39">
        <f t="shared" si="14"/>
        <v>500.28724999999997</v>
      </c>
      <c r="F129" s="39">
        <f t="shared" si="15"/>
        <v>627872.00109901023</v>
      </c>
      <c r="G129" s="41">
        <f t="shared" si="13"/>
        <v>1267663.5944557078</v>
      </c>
    </row>
    <row r="130" spans="2:7" ht="13" x14ac:dyDescent="0.3">
      <c r="B130" s="2">
        <v>2140</v>
      </c>
      <c r="C130" s="39">
        <f t="shared" si="11"/>
        <v>640867.33002819889</v>
      </c>
      <c r="D130" s="39">
        <f t="shared" si="12"/>
        <v>14314.713324941142</v>
      </c>
      <c r="E130" s="39">
        <f t="shared" si="14"/>
        <v>500.28724999999997</v>
      </c>
      <c r="F130" s="39">
        <f t="shared" si="15"/>
        <v>650098.66993791529</v>
      </c>
      <c r="G130" s="41">
        <f t="shared" si="13"/>
        <v>1305781.0005410553</v>
      </c>
    </row>
  </sheetData>
  <sheetProtection algorithmName="SHA-512" hashValue="/sb3s0yo2Kz3BRUaF/yzQAiVltxIvBwZm5dQGwxXlP6ElrSuiSAcu7+y1Dq2nQNbH0Y0HXsvlGPv4XDh+5lrGA==" saltValue="CplMOryUVU4rsdhXORPOcA==" spinCount="100000" sheet="1" objects="1" scenarios="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9D8FE-AC1B-4366-9A34-49FFAEC9713D}">
  <sheetPr codeName="Sheet11">
    <tabColor rgb="FF00B050"/>
    <outlinePr summaryBelow="0"/>
    <pageSetUpPr fitToPage="1"/>
  </sheetPr>
  <dimension ref="A1:DA215"/>
  <sheetViews>
    <sheetView zoomScale="80" zoomScaleNormal="80" zoomScaleSheetLayoutView="85" workbookViewId="0">
      <selection activeCell="L28" sqref="L28"/>
    </sheetView>
  </sheetViews>
  <sheetFormatPr defaultColWidth="9.1796875" defaultRowHeight="12.5" x14ac:dyDescent="0.25"/>
  <cols>
    <col min="1" max="1" width="5.26953125" style="2" customWidth="1"/>
    <col min="2" max="2" width="4.453125" style="2" customWidth="1"/>
    <col min="3" max="3" width="79.54296875" style="2" customWidth="1"/>
    <col min="4" max="4" width="16.1796875" style="2" customWidth="1"/>
    <col min="5" max="5" width="16.1796875" style="9" customWidth="1"/>
    <col min="6" max="6" width="16.1796875" style="2" customWidth="1"/>
    <col min="7" max="10" width="15.7265625" style="2" customWidth="1"/>
    <col min="11" max="28" width="15.1796875" style="2" customWidth="1"/>
    <col min="29" max="37" width="16.1796875" style="2" customWidth="1"/>
    <col min="38" max="46" width="16.1796875" style="2" bestFit="1" customWidth="1"/>
    <col min="47" max="47" width="16" style="2" bestFit="1" customWidth="1"/>
    <col min="48" max="16384" width="9.1796875" style="2"/>
  </cols>
  <sheetData>
    <row r="1" spans="1:105" ht="12.75" customHeight="1" x14ac:dyDescent="0.25">
      <c r="A1" s="719" t="s">
        <v>297</v>
      </c>
      <c r="B1" s="720"/>
      <c r="C1" s="720"/>
      <c r="D1" s="472" t="s">
        <v>362</v>
      </c>
      <c r="E1" s="472" t="s">
        <v>362</v>
      </c>
      <c r="F1" s="472" t="s">
        <v>362</v>
      </c>
      <c r="G1" s="472" t="s">
        <v>362</v>
      </c>
      <c r="H1" s="472" t="s">
        <v>362</v>
      </c>
      <c r="I1" s="472" t="s">
        <v>362</v>
      </c>
      <c r="J1" s="472" t="s">
        <v>362</v>
      </c>
      <c r="K1" s="472" t="s">
        <v>362</v>
      </c>
      <c r="L1" s="472" t="s">
        <v>362</v>
      </c>
      <c r="M1" s="472" t="s">
        <v>362</v>
      </c>
      <c r="N1" s="472" t="s">
        <v>362</v>
      </c>
      <c r="O1" s="472" t="s">
        <v>362</v>
      </c>
      <c r="P1" s="472" t="s">
        <v>362</v>
      </c>
      <c r="Q1" s="472" t="s">
        <v>362</v>
      </c>
      <c r="R1" s="472" t="s">
        <v>362</v>
      </c>
      <c r="S1" s="472" t="s">
        <v>362</v>
      </c>
      <c r="T1" s="472" t="s">
        <v>362</v>
      </c>
      <c r="U1" s="472" t="s">
        <v>362</v>
      </c>
      <c r="V1" s="472" t="s">
        <v>362</v>
      </c>
      <c r="W1" s="472" t="s">
        <v>362</v>
      </c>
      <c r="X1" s="472" t="s">
        <v>362</v>
      </c>
      <c r="Y1" s="472" t="s">
        <v>362</v>
      </c>
      <c r="Z1" s="472" t="s">
        <v>362</v>
      </c>
      <c r="AA1" s="472" t="s">
        <v>362</v>
      </c>
      <c r="AB1" s="472" t="s">
        <v>362</v>
      </c>
      <c r="AC1" s="472" t="s">
        <v>362</v>
      </c>
      <c r="AD1" s="472" t="s">
        <v>362</v>
      </c>
      <c r="AE1" s="472" t="s">
        <v>362</v>
      </c>
      <c r="AF1" s="472" t="s">
        <v>362</v>
      </c>
      <c r="AG1" s="472" t="s">
        <v>362</v>
      </c>
      <c r="AH1" s="472" t="s">
        <v>362</v>
      </c>
      <c r="AI1" s="472" t="s">
        <v>362</v>
      </c>
      <c r="AJ1" s="472" t="s">
        <v>362</v>
      </c>
      <c r="AK1" s="472" t="s">
        <v>362</v>
      </c>
      <c r="AL1" s="472" t="s">
        <v>362</v>
      </c>
      <c r="AM1" s="472" t="s">
        <v>362</v>
      </c>
      <c r="AN1" s="472" t="s">
        <v>362</v>
      </c>
      <c r="AO1" s="472" t="s">
        <v>362</v>
      </c>
      <c r="AP1" s="472" t="s">
        <v>362</v>
      </c>
      <c r="AQ1" s="472" t="s">
        <v>362</v>
      </c>
      <c r="AR1" s="472" t="s">
        <v>362</v>
      </c>
      <c r="AS1" s="472" t="s">
        <v>362</v>
      </c>
      <c r="AT1" s="472" t="s">
        <v>362</v>
      </c>
      <c r="AU1" s="472" t="s">
        <v>362</v>
      </c>
    </row>
    <row r="2" spans="1:105" ht="12.65" customHeight="1" x14ac:dyDescent="0.3">
      <c r="A2" s="721"/>
      <c r="B2" s="722"/>
      <c r="C2" s="722"/>
      <c r="D2" s="5">
        <v>2023</v>
      </c>
      <c r="E2" s="5">
        <v>2024</v>
      </c>
      <c r="F2" s="5">
        <v>2025</v>
      </c>
      <c r="G2" s="5">
        <v>2026</v>
      </c>
      <c r="H2" s="5">
        <v>2027</v>
      </c>
      <c r="I2" s="5">
        <v>2028</v>
      </c>
      <c r="J2" s="5">
        <v>2029</v>
      </c>
      <c r="K2" s="5">
        <v>2030</v>
      </c>
      <c r="L2" s="5">
        <v>2031</v>
      </c>
      <c r="M2" s="5">
        <v>2032</v>
      </c>
      <c r="N2" s="5">
        <v>2033</v>
      </c>
      <c r="O2" s="5">
        <v>2034</v>
      </c>
      <c r="P2" s="5">
        <v>2035</v>
      </c>
      <c r="Q2" s="5">
        <v>2036</v>
      </c>
      <c r="R2" s="5">
        <v>2037</v>
      </c>
      <c r="S2" s="5">
        <v>2038</v>
      </c>
      <c r="T2" s="5">
        <v>2039</v>
      </c>
      <c r="U2" s="5">
        <v>2040</v>
      </c>
      <c r="V2" s="5">
        <v>2041</v>
      </c>
      <c r="W2" s="5">
        <v>2042</v>
      </c>
      <c r="X2" s="5">
        <v>2043</v>
      </c>
      <c r="Y2" s="5">
        <v>2044</v>
      </c>
      <c r="Z2" s="5">
        <v>2045</v>
      </c>
      <c r="AA2" s="5">
        <v>2046</v>
      </c>
      <c r="AB2" s="5">
        <v>2047</v>
      </c>
      <c r="AC2" s="5">
        <v>2048</v>
      </c>
      <c r="AD2" s="5">
        <v>2049</v>
      </c>
      <c r="AE2" s="5">
        <v>2050</v>
      </c>
      <c r="AF2" s="5">
        <v>2051</v>
      </c>
      <c r="AG2" s="5">
        <v>2052</v>
      </c>
      <c r="AH2" s="5">
        <v>2053</v>
      </c>
      <c r="AI2" s="5">
        <v>2054</v>
      </c>
      <c r="AJ2" s="5">
        <v>2055</v>
      </c>
      <c r="AK2" s="5">
        <v>2056</v>
      </c>
      <c r="AL2" s="5">
        <v>2057</v>
      </c>
      <c r="AM2" s="5">
        <v>2058</v>
      </c>
      <c r="AN2" s="5">
        <v>2059</v>
      </c>
      <c r="AO2" s="5">
        <v>2060</v>
      </c>
      <c r="AP2" s="5">
        <v>2061</v>
      </c>
      <c r="AQ2" s="5">
        <v>2062</v>
      </c>
      <c r="AR2" s="5">
        <v>2063</v>
      </c>
      <c r="AS2" s="5">
        <v>2064</v>
      </c>
      <c r="AT2" s="5">
        <v>2065</v>
      </c>
      <c r="AU2" s="5">
        <v>2066</v>
      </c>
    </row>
    <row r="3" spans="1:105" s="658" customFormat="1" ht="14.5" customHeight="1" x14ac:dyDescent="0.4">
      <c r="A3" s="655" t="s">
        <v>529</v>
      </c>
      <c r="B3" s="656"/>
      <c r="C3" s="656"/>
      <c r="D3" s="657"/>
      <c r="E3" s="659">
        <f>+Forecast_Landfill!E43</f>
        <v>65.430000000000007</v>
      </c>
      <c r="F3" s="659">
        <f>+Forecast_Landfill!F43</f>
        <v>65.430000000000007</v>
      </c>
      <c r="G3" s="659">
        <f>+Forecast_Landfill!G43</f>
        <v>65.430000000000007</v>
      </c>
      <c r="H3" s="659">
        <f>+Forecast_Landfill!H43</f>
        <v>71.497127610000007</v>
      </c>
      <c r="I3" s="659">
        <f>+Forecast_Landfill!I43</f>
        <v>71.497127610000007</v>
      </c>
      <c r="J3" s="659">
        <f>+Forecast_Landfill!J43</f>
        <v>71.497127610000007</v>
      </c>
      <c r="K3" s="659">
        <f>+Forecast_Landfill!K43</f>
        <v>64.930000000000007</v>
      </c>
      <c r="L3" s="659">
        <f>+Forecast_Landfill!L43</f>
        <v>64.930000000000007</v>
      </c>
      <c r="M3" s="659">
        <f>+Forecast_Landfill!M43</f>
        <v>64.930000000000007</v>
      </c>
      <c r="N3" s="659">
        <f>+Forecast_Landfill!N43</f>
        <v>70.950764110000009</v>
      </c>
      <c r="O3" s="659">
        <f>+Forecast_Landfill!O43</f>
        <v>70.950764110000009</v>
      </c>
      <c r="P3" s="659">
        <f>+Forecast_Landfill!P43</f>
        <v>70.950764110000009</v>
      </c>
      <c r="Q3" s="659">
        <f>+Forecast_Landfill!Q43</f>
        <v>73.150000000000006</v>
      </c>
      <c r="R3" s="659">
        <f>+Forecast_Landfill!R43</f>
        <v>73.150000000000006</v>
      </c>
      <c r="S3" s="659">
        <f>+Forecast_Landfill!S43</f>
        <v>73.150000000000006</v>
      </c>
      <c r="T3" s="659">
        <f>+Forecast_Landfill!T43</f>
        <v>79.932980050000012</v>
      </c>
      <c r="U3" s="659">
        <f>+Forecast_Landfill!U43</f>
        <v>79.932980050000012</v>
      </c>
      <c r="V3" s="659">
        <f>+Forecast_Landfill!V43</f>
        <v>79.932980050000012</v>
      </c>
      <c r="W3" s="659">
        <f>+Forecast_Landfill!W43</f>
        <v>68.36</v>
      </c>
      <c r="X3" s="659">
        <f>+Forecast_Landfill!X43</f>
        <v>68.36</v>
      </c>
      <c r="Y3" s="659">
        <f>+Forecast_Landfill!Y43</f>
        <v>68.36</v>
      </c>
      <c r="Z3" s="659">
        <f>+Forecast_Landfill!Z43</f>
        <v>74.698817719999994</v>
      </c>
      <c r="AA3" s="659">
        <f>+Forecast_Landfill!AA43</f>
        <v>74.698817719999994</v>
      </c>
      <c r="AB3" s="659">
        <f>+Forecast_Landfill!AB43</f>
        <v>74.698817719999994</v>
      </c>
      <c r="AC3" s="659">
        <f>+Forecast_Landfill!AC43</f>
        <v>78.86</v>
      </c>
      <c r="AD3" s="659">
        <f>+Forecast_Landfill!AD43</f>
        <v>78.86</v>
      </c>
      <c r="AE3" s="659">
        <f>+Forecast_Landfill!AE43</f>
        <v>78.86</v>
      </c>
      <c r="AF3" s="659">
        <f>+Forecast_Landfill!AF43</f>
        <v>86.172451219999999</v>
      </c>
      <c r="AG3" s="659">
        <f>+Forecast_Landfill!AG43</f>
        <v>86.172451219999999</v>
      </c>
      <c r="AH3" s="659">
        <f>+Forecast_Landfill!AH43</f>
        <v>86.172451219999999</v>
      </c>
      <c r="AI3" s="659">
        <f>+Forecast_Landfill!AI43</f>
        <v>78.790000000000006</v>
      </c>
      <c r="AJ3" s="659">
        <f>+Forecast_Landfill!AJ43</f>
        <v>78.790000000000006</v>
      </c>
      <c r="AK3" s="659">
        <f>+Forecast_Landfill!AK43</f>
        <v>78.790000000000006</v>
      </c>
      <c r="AL3" s="659">
        <f>+Forecast_Landfill!AL43</f>
        <v>86.095960330000011</v>
      </c>
      <c r="AM3" s="659">
        <f>+Forecast_Landfill!AM43</f>
        <v>86.095960330000011</v>
      </c>
      <c r="AN3" s="659">
        <f>+Forecast_Landfill!AN43</f>
        <v>86.095960330000011</v>
      </c>
      <c r="AO3" s="659">
        <f>+Forecast_Landfill!AO43</f>
        <v>91.7</v>
      </c>
      <c r="AP3" s="659">
        <f>+Forecast_Landfill!AP43</f>
        <v>91.7</v>
      </c>
      <c r="AQ3" s="659">
        <f>+Forecast_Landfill!AQ43</f>
        <v>91.7</v>
      </c>
      <c r="AR3" s="659">
        <f>+Forecast_Landfill!AR43</f>
        <v>100.2030659</v>
      </c>
      <c r="AS3" s="659">
        <f>+Forecast_Landfill!AS43</f>
        <v>100.2030659</v>
      </c>
      <c r="AT3" s="659">
        <f>+Forecast_Landfill!AT43</f>
        <v>100.2030659</v>
      </c>
      <c r="AU3" s="659">
        <f>+Forecast_Landfill!AU43</f>
        <v>50.5</v>
      </c>
    </row>
    <row r="4" spans="1:105" s="8" customFormat="1" ht="21.75" customHeight="1" x14ac:dyDescent="0.35">
      <c r="A4" s="33" t="s">
        <v>0</v>
      </c>
      <c r="B4" s="34"/>
      <c r="C4" s="34"/>
      <c r="D4" s="35">
        <v>0</v>
      </c>
      <c r="E4" s="35">
        <f>D42</f>
        <v>6170571</v>
      </c>
      <c r="F4" s="35">
        <f>E42</f>
        <v>541425.75261217263</v>
      </c>
      <c r="G4" s="35">
        <f t="shared" ref="G4:AU4" si="0">F42</f>
        <v>1057293.5035090921</v>
      </c>
      <c r="H4" s="35">
        <f t="shared" si="0"/>
        <v>1207143.3359061396</v>
      </c>
      <c r="I4" s="35">
        <f t="shared" si="0"/>
        <v>1597882.1173693342</v>
      </c>
      <c r="J4" s="35">
        <f t="shared" si="0"/>
        <v>2010716.8464805642</v>
      </c>
      <c r="K4" s="35">
        <f t="shared" si="0"/>
        <v>2441242.0609799698</v>
      </c>
      <c r="L4" s="35">
        <f t="shared" si="0"/>
        <v>2326165.8185473951</v>
      </c>
      <c r="M4" s="35">
        <f t="shared" si="0"/>
        <v>2215984.5672967052</v>
      </c>
      <c r="N4" s="35">
        <f t="shared" si="0"/>
        <v>2116066.7397905858</v>
      </c>
      <c r="O4" s="35">
        <f t="shared" si="0"/>
        <v>2231045.9016284607</v>
      </c>
      <c r="P4" s="35">
        <f t="shared" si="0"/>
        <v>2215179.1360563887</v>
      </c>
      <c r="Q4" s="35">
        <f t="shared" si="0"/>
        <v>2310229.7334957821</v>
      </c>
      <c r="R4" s="35">
        <f t="shared" si="0"/>
        <v>2377908.1715587275</v>
      </c>
      <c r="S4" s="35">
        <f t="shared" si="0"/>
        <v>2455111.155209844</v>
      </c>
      <c r="T4" s="35">
        <f t="shared" si="0"/>
        <v>2547284.8998184064</v>
      </c>
      <c r="U4" s="35">
        <f t="shared" si="0"/>
        <v>2954173.9951450163</v>
      </c>
      <c r="V4" s="35">
        <f t="shared" si="0"/>
        <v>3379577.3328103144</v>
      </c>
      <c r="W4" s="35">
        <f t="shared" si="0"/>
        <v>4148888.620506906</v>
      </c>
      <c r="X4" s="35">
        <f t="shared" si="0"/>
        <v>3706774.4502113918</v>
      </c>
      <c r="Y4" s="35">
        <f t="shared" si="0"/>
        <v>3261924.5149691068</v>
      </c>
      <c r="Z4" s="35">
        <f t="shared" si="0"/>
        <v>2814391.1650946317</v>
      </c>
      <c r="AA4" s="35">
        <f t="shared" si="0"/>
        <v>2846294.8461685264</v>
      </c>
      <c r="AB4" s="35">
        <f t="shared" si="0"/>
        <v>2888354.9334252896</v>
      </c>
      <c r="AC4" s="35">
        <f t="shared" si="0"/>
        <v>2940961.0637805732</v>
      </c>
      <c r="AD4" s="35">
        <f t="shared" si="0"/>
        <v>3091933.4027176229</v>
      </c>
      <c r="AE4" s="35">
        <f t="shared" si="0"/>
        <v>3256784.6619905094</v>
      </c>
      <c r="AF4" s="35">
        <f t="shared" si="0"/>
        <v>3435982.4922809443</v>
      </c>
      <c r="AG4" s="35">
        <f t="shared" si="0"/>
        <v>4033113.8524066443</v>
      </c>
      <c r="AH4" s="35">
        <f t="shared" si="0"/>
        <v>4651407.2550140908</v>
      </c>
      <c r="AI4" s="35">
        <f t="shared" si="0"/>
        <v>5296785.9627021225</v>
      </c>
      <c r="AJ4" s="35">
        <f t="shared" si="0"/>
        <v>4650290.7474569147</v>
      </c>
      <c r="AK4" s="35">
        <f t="shared" si="0"/>
        <v>4294718.4843270937</v>
      </c>
      <c r="AL4" s="35">
        <f t="shared" si="0"/>
        <v>3936161.1801406657</v>
      </c>
      <c r="AM4" s="35">
        <f t="shared" si="0"/>
        <v>3993997.3340634229</v>
      </c>
      <c r="AN4" s="35">
        <f t="shared" si="0"/>
        <v>4060388.4440915613</v>
      </c>
      <c r="AO4" s="35">
        <f t="shared" si="0"/>
        <v>4135830.7098304322</v>
      </c>
      <c r="AP4" s="35">
        <f t="shared" si="0"/>
        <v>4390964.6216012584</v>
      </c>
      <c r="AQ4" s="35">
        <f t="shared" si="0"/>
        <v>4655714.6482318444</v>
      </c>
      <c r="AR4" s="35">
        <f t="shared" si="0"/>
        <v>4935849.6909889458</v>
      </c>
      <c r="AS4" s="35">
        <f t="shared" si="0"/>
        <v>5785910.8122911276</v>
      </c>
      <c r="AT4" s="35">
        <f t="shared" si="0"/>
        <v>6667542.3683357397</v>
      </c>
      <c r="AU4" s="35">
        <f t="shared" si="0"/>
        <v>8958818.07342894</v>
      </c>
    </row>
    <row r="5" spans="1:105" s="8" customFormat="1" ht="14" x14ac:dyDescent="0.3">
      <c r="A5" s="401" t="s">
        <v>1</v>
      </c>
      <c r="B5" s="402"/>
      <c r="C5" s="402"/>
      <c r="D5" s="403">
        <f t="shared" ref="D5:AU5" si="1">SUM(D6,D14,D15)</f>
        <v>18115000</v>
      </c>
      <c r="E5" s="403">
        <f t="shared" si="1"/>
        <v>2088782.2212199811</v>
      </c>
      <c r="F5" s="403">
        <f t="shared" si="1"/>
        <v>21654400.294191744</v>
      </c>
      <c r="G5" s="403">
        <f t="shared" si="1"/>
        <v>4609631.7414789032</v>
      </c>
      <c r="H5" s="403">
        <f t="shared" si="1"/>
        <v>5108093.4863049891</v>
      </c>
      <c r="I5" s="403">
        <f t="shared" si="1"/>
        <v>5235633.5742590725</v>
      </c>
      <c r="J5" s="403">
        <f t="shared" si="1"/>
        <v>5366786.3349712593</v>
      </c>
      <c r="K5" s="403">
        <f t="shared" si="1"/>
        <v>5113221.9324801257</v>
      </c>
      <c r="L5" s="403">
        <f t="shared" si="1"/>
        <v>5242232.640733093</v>
      </c>
      <c r="M5" s="403">
        <f t="shared" si="1"/>
        <v>5374890.6454928862</v>
      </c>
      <c r="N5" s="403">
        <f t="shared" si="1"/>
        <v>5958128.6864492455</v>
      </c>
      <c r="O5" s="403">
        <f t="shared" si="1"/>
        <v>6109546.8650892628</v>
      </c>
      <c r="P5" s="403">
        <f t="shared" si="1"/>
        <v>6265241.0570337176</v>
      </c>
      <c r="Q5" s="403">
        <f t="shared" si="1"/>
        <v>6628371.7429041881</v>
      </c>
      <c r="R5" s="403">
        <f t="shared" si="1"/>
        <v>6798182.0691568824</v>
      </c>
      <c r="S5" s="403">
        <f t="shared" si="1"/>
        <v>6972784.9067992019</v>
      </c>
      <c r="T5" s="403">
        <f t="shared" si="1"/>
        <v>7739886.9066700134</v>
      </c>
      <c r="U5" s="403">
        <f t="shared" si="1"/>
        <v>7939543.5014278786</v>
      </c>
      <c r="V5" s="403">
        <f t="shared" si="1"/>
        <v>8144899.7185782334</v>
      </c>
      <c r="W5" s="403">
        <f t="shared" si="1"/>
        <v>7419341.7974617984</v>
      </c>
      <c r="X5" s="403">
        <f t="shared" si="1"/>
        <v>7612422.3241512189</v>
      </c>
      <c r="Y5" s="403">
        <f t="shared" si="1"/>
        <v>7811073.6903450144</v>
      </c>
      <c r="Z5" s="403">
        <f t="shared" si="1"/>
        <v>8415969.2151461057</v>
      </c>
      <c r="AA5" s="403">
        <f t="shared" si="1"/>
        <v>8636557.8653048966</v>
      </c>
      <c r="AB5" s="403">
        <f t="shared" si="1"/>
        <v>8863380.8051074669</v>
      </c>
      <c r="AC5" s="403">
        <f t="shared" si="1"/>
        <v>9566210.7799329851</v>
      </c>
      <c r="AD5" s="403">
        <f t="shared" si="1"/>
        <v>9818597.030964788</v>
      </c>
      <c r="AE5" s="403">
        <f t="shared" si="1"/>
        <v>10078179.564518576</v>
      </c>
      <c r="AF5" s="403">
        <f t="shared" si="1"/>
        <v>11198621.344153369</v>
      </c>
      <c r="AG5" s="403">
        <f t="shared" si="1"/>
        <v>11495846.3368368</v>
      </c>
      <c r="AH5" s="403">
        <f t="shared" si="1"/>
        <v>11801608.814064296</v>
      </c>
      <c r="AI5" s="403">
        <f t="shared" si="1"/>
        <v>11327448.930194883</v>
      </c>
      <c r="AJ5" s="403">
        <f t="shared" si="1"/>
        <v>11349824.665330211</v>
      </c>
      <c r="AK5" s="403">
        <f t="shared" si="1"/>
        <v>11653963.806268428</v>
      </c>
      <c r="AL5" s="403">
        <f t="shared" si="1"/>
        <v>12950956.6278634</v>
      </c>
      <c r="AM5" s="403">
        <f t="shared" si="1"/>
        <v>13299107.454751253</v>
      </c>
      <c r="AN5" s="403">
        <f t="shared" si="1"/>
        <v>13657442.011584681</v>
      </c>
      <c r="AO5" s="403">
        <f t="shared" si="1"/>
        <v>14864246.731440166</v>
      </c>
      <c r="AP5" s="403">
        <f t="shared" si="1"/>
        <v>15266195.05712131</v>
      </c>
      <c r="AQ5" s="403">
        <f t="shared" si="1"/>
        <v>15679757.503211325</v>
      </c>
      <c r="AR5" s="403">
        <f t="shared" si="1"/>
        <v>17449598.861359145</v>
      </c>
      <c r="AS5" s="403">
        <f t="shared" si="1"/>
        <v>17913809.926117405</v>
      </c>
      <c r="AT5" s="403">
        <f t="shared" si="1"/>
        <v>17363781.950748369</v>
      </c>
      <c r="AU5" s="403">
        <f t="shared" si="1"/>
        <v>9858815.8602171391</v>
      </c>
    </row>
    <row r="6" spans="1:105" s="538" customFormat="1" ht="11.5" x14ac:dyDescent="0.25">
      <c r="A6" s="539" t="s">
        <v>298</v>
      </c>
      <c r="B6" s="540"/>
      <c r="C6" s="540"/>
      <c r="D6" s="541">
        <f>SUM(D13)</f>
        <v>18115000</v>
      </c>
      <c r="E6" s="541">
        <f t="shared" ref="E6:AT6" si="2">SUM(E13)</f>
        <v>1500000</v>
      </c>
      <c r="F6" s="541">
        <f t="shared" si="2"/>
        <v>17830000</v>
      </c>
      <c r="G6" s="541">
        <f t="shared" si="2"/>
        <v>0</v>
      </c>
      <c r="H6" s="541">
        <f t="shared" si="2"/>
        <v>0</v>
      </c>
      <c r="I6" s="541">
        <f t="shared" si="2"/>
        <v>0</v>
      </c>
      <c r="J6" s="541">
        <f t="shared" si="2"/>
        <v>0</v>
      </c>
      <c r="K6" s="541">
        <f t="shared" si="2"/>
        <v>0</v>
      </c>
      <c r="L6" s="541">
        <f t="shared" si="2"/>
        <v>0</v>
      </c>
      <c r="M6" s="541">
        <f t="shared" si="2"/>
        <v>0</v>
      </c>
      <c r="N6" s="541">
        <f t="shared" si="2"/>
        <v>0</v>
      </c>
      <c r="O6" s="541">
        <f t="shared" si="2"/>
        <v>0</v>
      </c>
      <c r="P6" s="541">
        <f t="shared" si="2"/>
        <v>0</v>
      </c>
      <c r="Q6" s="541">
        <f t="shared" si="2"/>
        <v>0</v>
      </c>
      <c r="R6" s="541">
        <f t="shared" si="2"/>
        <v>0</v>
      </c>
      <c r="S6" s="541">
        <f t="shared" si="2"/>
        <v>0</v>
      </c>
      <c r="T6" s="541">
        <f t="shared" si="2"/>
        <v>0</v>
      </c>
      <c r="U6" s="541">
        <f t="shared" si="2"/>
        <v>0</v>
      </c>
      <c r="V6" s="541">
        <f t="shared" si="2"/>
        <v>0</v>
      </c>
      <c r="W6" s="541">
        <f t="shared" si="2"/>
        <v>0</v>
      </c>
      <c r="X6" s="541">
        <f t="shared" si="2"/>
        <v>0</v>
      </c>
      <c r="Y6" s="541">
        <f t="shared" si="2"/>
        <v>0</v>
      </c>
      <c r="Z6" s="541">
        <f t="shared" si="2"/>
        <v>0</v>
      </c>
      <c r="AA6" s="541">
        <f t="shared" si="2"/>
        <v>0</v>
      </c>
      <c r="AB6" s="541">
        <f t="shared" si="2"/>
        <v>0</v>
      </c>
      <c r="AC6" s="541">
        <f t="shared" si="2"/>
        <v>0</v>
      </c>
      <c r="AD6" s="541">
        <f t="shared" si="2"/>
        <v>0</v>
      </c>
      <c r="AE6" s="541">
        <f t="shared" si="2"/>
        <v>0</v>
      </c>
      <c r="AF6" s="541">
        <f t="shared" si="2"/>
        <v>0</v>
      </c>
      <c r="AG6" s="541">
        <f t="shared" si="2"/>
        <v>0</v>
      </c>
      <c r="AH6" s="541">
        <f t="shared" si="2"/>
        <v>0</v>
      </c>
      <c r="AI6" s="541">
        <f t="shared" si="2"/>
        <v>0</v>
      </c>
      <c r="AJ6" s="541">
        <f t="shared" si="2"/>
        <v>0</v>
      </c>
      <c r="AK6" s="541">
        <f t="shared" si="2"/>
        <v>0</v>
      </c>
      <c r="AL6" s="541">
        <f t="shared" si="2"/>
        <v>0</v>
      </c>
      <c r="AM6" s="541">
        <f t="shared" si="2"/>
        <v>0</v>
      </c>
      <c r="AN6" s="541">
        <f t="shared" si="2"/>
        <v>0</v>
      </c>
      <c r="AO6" s="541">
        <f t="shared" si="2"/>
        <v>0</v>
      </c>
      <c r="AP6" s="541">
        <f t="shared" si="2"/>
        <v>0</v>
      </c>
      <c r="AQ6" s="541">
        <f t="shared" si="2"/>
        <v>0</v>
      </c>
      <c r="AR6" s="541">
        <f t="shared" si="2"/>
        <v>0</v>
      </c>
      <c r="AS6" s="541">
        <f t="shared" si="2"/>
        <v>0</v>
      </c>
      <c r="AT6" s="541">
        <f t="shared" si="2"/>
        <v>0</v>
      </c>
      <c r="AU6" s="541">
        <f>SUM(AU13)</f>
        <v>0</v>
      </c>
    </row>
    <row r="7" spans="1:105" s="538" customFormat="1" ht="11.5" x14ac:dyDescent="0.25">
      <c r="A7" s="542" t="s">
        <v>6</v>
      </c>
      <c r="B7" s="543" t="s">
        <v>527</v>
      </c>
      <c r="C7" s="544"/>
      <c r="D7" s="545"/>
      <c r="E7" s="545"/>
      <c r="F7" s="545"/>
      <c r="G7" s="545"/>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row>
    <row r="8" spans="1:105" s="538" customFormat="1" ht="11.5" x14ac:dyDescent="0.25">
      <c r="A8" s="542"/>
      <c r="B8" s="543"/>
      <c r="C8" s="546" t="s">
        <v>656</v>
      </c>
      <c r="D8" s="547">
        <f>'2 Yr-Interim'!D13</f>
        <v>16815000</v>
      </c>
      <c r="E8" s="547">
        <v>0</v>
      </c>
      <c r="F8" s="547">
        <f>'40-Year Bond'!D13</f>
        <v>18130000</v>
      </c>
      <c r="G8" s="547">
        <v>0</v>
      </c>
      <c r="H8" s="547">
        <v>0</v>
      </c>
      <c r="I8" s="547">
        <v>0</v>
      </c>
      <c r="J8" s="547">
        <v>0</v>
      </c>
      <c r="K8" s="547">
        <v>0</v>
      </c>
      <c r="L8" s="547">
        <v>0</v>
      </c>
      <c r="M8" s="547">
        <v>0</v>
      </c>
      <c r="N8" s="547">
        <v>0</v>
      </c>
      <c r="O8" s="547">
        <v>0</v>
      </c>
      <c r="P8" s="547">
        <v>0</v>
      </c>
      <c r="Q8" s="547">
        <v>0</v>
      </c>
      <c r="R8" s="547">
        <v>0</v>
      </c>
      <c r="S8" s="547">
        <v>0</v>
      </c>
      <c r="T8" s="547">
        <v>0</v>
      </c>
      <c r="U8" s="547">
        <v>0</v>
      </c>
      <c r="V8" s="547">
        <v>0</v>
      </c>
      <c r="W8" s="547">
        <v>0</v>
      </c>
      <c r="X8" s="547">
        <v>0</v>
      </c>
      <c r="Y8" s="547">
        <v>0</v>
      </c>
      <c r="Z8" s="547">
        <v>0</v>
      </c>
      <c r="AA8" s="547">
        <v>0</v>
      </c>
      <c r="AB8" s="547">
        <v>0</v>
      </c>
      <c r="AC8" s="547">
        <v>0</v>
      </c>
      <c r="AD8" s="547">
        <v>0</v>
      </c>
      <c r="AE8" s="547">
        <v>0</v>
      </c>
      <c r="AF8" s="547">
        <v>0</v>
      </c>
      <c r="AG8" s="547">
        <v>0</v>
      </c>
      <c r="AH8" s="547">
        <v>0</v>
      </c>
      <c r="AI8" s="547">
        <v>0</v>
      </c>
      <c r="AJ8" s="547">
        <v>0</v>
      </c>
      <c r="AK8" s="547">
        <v>0</v>
      </c>
      <c r="AL8" s="547">
        <v>0</v>
      </c>
      <c r="AM8" s="547">
        <v>0</v>
      </c>
      <c r="AN8" s="547">
        <v>0</v>
      </c>
      <c r="AO8" s="547">
        <v>0</v>
      </c>
      <c r="AP8" s="547">
        <v>0</v>
      </c>
      <c r="AQ8" s="547">
        <v>0</v>
      </c>
      <c r="AR8" s="547">
        <v>0</v>
      </c>
      <c r="AS8" s="547">
        <v>0</v>
      </c>
      <c r="AT8" s="547">
        <v>0</v>
      </c>
      <c r="AU8" s="547">
        <v>0</v>
      </c>
    </row>
    <row r="9" spans="1:105" s="538" customFormat="1" ht="11.5" x14ac:dyDescent="0.25">
      <c r="A9" s="542"/>
      <c r="B9" s="543"/>
      <c r="C9" s="548" t="s">
        <v>187</v>
      </c>
      <c r="D9" s="547">
        <f>'2 Yr-Interim'!D18</f>
        <v>300000</v>
      </c>
      <c r="E9" s="547">
        <v>0</v>
      </c>
      <c r="F9" s="547">
        <f>'40-Year Bond'!D18</f>
        <v>300000</v>
      </c>
      <c r="G9" s="547">
        <v>0</v>
      </c>
      <c r="H9" s="547">
        <v>0</v>
      </c>
      <c r="I9" s="547">
        <v>0</v>
      </c>
      <c r="J9" s="547">
        <v>0</v>
      </c>
      <c r="K9" s="547">
        <v>0</v>
      </c>
      <c r="L9" s="547">
        <v>0</v>
      </c>
      <c r="M9" s="547">
        <v>0</v>
      </c>
      <c r="N9" s="547">
        <v>0</v>
      </c>
      <c r="O9" s="547">
        <v>0</v>
      </c>
      <c r="P9" s="547">
        <v>0</v>
      </c>
      <c r="Q9" s="547">
        <v>0</v>
      </c>
      <c r="R9" s="547">
        <v>0</v>
      </c>
      <c r="S9" s="547">
        <v>0</v>
      </c>
      <c r="T9" s="547">
        <v>0</v>
      </c>
      <c r="U9" s="547">
        <v>0</v>
      </c>
      <c r="V9" s="547">
        <v>0</v>
      </c>
      <c r="W9" s="547">
        <v>0</v>
      </c>
      <c r="X9" s="547">
        <v>0</v>
      </c>
      <c r="Y9" s="547">
        <v>0</v>
      </c>
      <c r="Z9" s="547">
        <v>0</v>
      </c>
      <c r="AA9" s="547">
        <v>0</v>
      </c>
      <c r="AB9" s="547">
        <v>0</v>
      </c>
      <c r="AC9" s="547">
        <v>0</v>
      </c>
      <c r="AD9" s="547">
        <v>0</v>
      </c>
      <c r="AE9" s="547">
        <v>0</v>
      </c>
      <c r="AF9" s="547">
        <v>0</v>
      </c>
      <c r="AG9" s="547">
        <v>0</v>
      </c>
      <c r="AH9" s="547">
        <v>0</v>
      </c>
      <c r="AI9" s="547">
        <v>0</v>
      </c>
      <c r="AJ9" s="547">
        <v>0</v>
      </c>
      <c r="AK9" s="547">
        <v>0</v>
      </c>
      <c r="AL9" s="547">
        <v>0</v>
      </c>
      <c r="AM9" s="547">
        <v>0</v>
      </c>
      <c r="AN9" s="547">
        <v>0</v>
      </c>
      <c r="AO9" s="547">
        <v>0</v>
      </c>
      <c r="AP9" s="547">
        <v>0</v>
      </c>
      <c r="AQ9" s="547">
        <v>0</v>
      </c>
      <c r="AR9" s="547">
        <v>0</v>
      </c>
      <c r="AS9" s="547">
        <v>0</v>
      </c>
      <c r="AT9" s="547">
        <v>0</v>
      </c>
      <c r="AU9" s="547">
        <v>0</v>
      </c>
    </row>
    <row r="10" spans="1:105" s="538" customFormat="1" ht="11.5" x14ac:dyDescent="0.25">
      <c r="A10" s="542"/>
      <c r="B10" s="543"/>
      <c r="C10" s="549" t="s">
        <v>188</v>
      </c>
      <c r="D10" s="545">
        <f>'2 Yr-Interim'!D19</f>
        <v>16515000</v>
      </c>
      <c r="E10" s="545">
        <v>0</v>
      </c>
      <c r="F10" s="545">
        <f>'40-Year Bond'!D19</f>
        <v>17830000</v>
      </c>
      <c r="G10" s="545">
        <v>0</v>
      </c>
      <c r="H10" s="545">
        <v>0</v>
      </c>
      <c r="I10" s="545">
        <v>0</v>
      </c>
      <c r="J10" s="545">
        <v>0</v>
      </c>
      <c r="K10" s="545">
        <v>0</v>
      </c>
      <c r="L10" s="545">
        <v>0</v>
      </c>
      <c r="M10" s="545">
        <v>0</v>
      </c>
      <c r="N10" s="545">
        <v>0</v>
      </c>
      <c r="O10" s="545">
        <v>0</v>
      </c>
      <c r="P10" s="545">
        <v>0</v>
      </c>
      <c r="Q10" s="545">
        <v>0</v>
      </c>
      <c r="R10" s="545">
        <v>0</v>
      </c>
      <c r="S10" s="545">
        <v>0</v>
      </c>
      <c r="T10" s="545">
        <v>0</v>
      </c>
      <c r="U10" s="545">
        <v>0</v>
      </c>
      <c r="V10" s="545">
        <v>0</v>
      </c>
      <c r="W10" s="545">
        <v>0</v>
      </c>
      <c r="X10" s="545">
        <v>0</v>
      </c>
      <c r="Y10" s="545">
        <v>0</v>
      </c>
      <c r="Z10" s="545">
        <v>0</v>
      </c>
      <c r="AA10" s="545">
        <v>0</v>
      </c>
      <c r="AB10" s="545">
        <v>0</v>
      </c>
      <c r="AC10" s="545">
        <v>0</v>
      </c>
      <c r="AD10" s="545">
        <v>0</v>
      </c>
      <c r="AE10" s="545">
        <v>0</v>
      </c>
      <c r="AF10" s="545">
        <v>0</v>
      </c>
      <c r="AG10" s="545">
        <v>0</v>
      </c>
      <c r="AH10" s="545">
        <v>0</v>
      </c>
      <c r="AI10" s="545">
        <v>0</v>
      </c>
      <c r="AJ10" s="545">
        <v>0</v>
      </c>
      <c r="AK10" s="545">
        <v>0</v>
      </c>
      <c r="AL10" s="545">
        <v>0</v>
      </c>
      <c r="AM10" s="545">
        <v>0</v>
      </c>
      <c r="AN10" s="545">
        <v>0</v>
      </c>
      <c r="AO10" s="545">
        <v>0</v>
      </c>
      <c r="AP10" s="545">
        <v>0</v>
      </c>
      <c r="AQ10" s="545">
        <v>0</v>
      </c>
      <c r="AR10" s="545">
        <v>0</v>
      </c>
      <c r="AS10" s="545">
        <v>0</v>
      </c>
      <c r="AT10" s="545">
        <v>0</v>
      </c>
      <c r="AU10" s="545">
        <v>0</v>
      </c>
    </row>
    <row r="11" spans="1:105" s="538" customFormat="1" ht="11.5" x14ac:dyDescent="0.25">
      <c r="A11" s="542"/>
      <c r="B11" s="543"/>
      <c r="C11" s="549" t="s">
        <v>526</v>
      </c>
      <c r="D11" s="545">
        <v>100000</v>
      </c>
      <c r="E11" s="545">
        <v>0</v>
      </c>
      <c r="F11" s="545">
        <v>0</v>
      </c>
      <c r="G11" s="545">
        <v>0</v>
      </c>
      <c r="H11" s="545">
        <v>0</v>
      </c>
      <c r="I11" s="545">
        <v>0</v>
      </c>
      <c r="J11" s="545">
        <v>0</v>
      </c>
      <c r="K11" s="545">
        <v>0</v>
      </c>
      <c r="L11" s="545">
        <v>0</v>
      </c>
      <c r="M11" s="545">
        <v>0</v>
      </c>
      <c r="N11" s="545">
        <v>0</v>
      </c>
      <c r="O11" s="545">
        <v>0</v>
      </c>
      <c r="P11" s="545">
        <v>0</v>
      </c>
      <c r="Q11" s="545">
        <v>0</v>
      </c>
      <c r="R11" s="545">
        <v>0</v>
      </c>
      <c r="S11" s="545">
        <v>0</v>
      </c>
      <c r="T11" s="545">
        <v>0</v>
      </c>
      <c r="U11" s="545">
        <v>0</v>
      </c>
      <c r="V11" s="545">
        <v>0</v>
      </c>
      <c r="W11" s="545">
        <v>0</v>
      </c>
      <c r="X11" s="545">
        <v>0</v>
      </c>
      <c r="Y11" s="545">
        <v>0</v>
      </c>
      <c r="Z11" s="545">
        <v>0</v>
      </c>
      <c r="AA11" s="545">
        <v>0</v>
      </c>
      <c r="AB11" s="545">
        <v>0</v>
      </c>
      <c r="AC11" s="545">
        <v>0</v>
      </c>
      <c r="AD11" s="545">
        <v>0</v>
      </c>
      <c r="AE11" s="545">
        <v>0</v>
      </c>
      <c r="AF11" s="545">
        <v>0</v>
      </c>
      <c r="AG11" s="545">
        <v>0</v>
      </c>
      <c r="AH11" s="545">
        <v>0</v>
      </c>
      <c r="AI11" s="545">
        <v>0</v>
      </c>
      <c r="AJ11" s="545">
        <v>0</v>
      </c>
      <c r="AK11" s="545">
        <v>0</v>
      </c>
      <c r="AL11" s="545">
        <v>0</v>
      </c>
      <c r="AM11" s="545">
        <v>0</v>
      </c>
      <c r="AN11" s="545">
        <v>0</v>
      </c>
      <c r="AO11" s="545">
        <v>0</v>
      </c>
      <c r="AP11" s="545">
        <v>0</v>
      </c>
      <c r="AQ11" s="545">
        <v>0</v>
      </c>
      <c r="AR11" s="545">
        <v>0</v>
      </c>
      <c r="AS11" s="545">
        <v>0</v>
      </c>
      <c r="AT11" s="545">
        <v>0</v>
      </c>
      <c r="AU11" s="545">
        <v>0</v>
      </c>
    </row>
    <row r="12" spans="1:105" s="538" customFormat="1" ht="11.5" x14ac:dyDescent="0.25">
      <c r="A12" s="542"/>
      <c r="B12" s="543"/>
      <c r="C12" s="550" t="s">
        <v>356</v>
      </c>
      <c r="D12" s="545">
        <v>1500000</v>
      </c>
      <c r="E12" s="545">
        <v>1500000</v>
      </c>
      <c r="F12" s="545">
        <v>0</v>
      </c>
      <c r="G12" s="545">
        <v>0</v>
      </c>
      <c r="H12" s="545">
        <v>0</v>
      </c>
      <c r="I12" s="545">
        <v>0</v>
      </c>
      <c r="J12" s="545">
        <v>0</v>
      </c>
      <c r="K12" s="545">
        <v>0</v>
      </c>
      <c r="L12" s="545">
        <v>0</v>
      </c>
      <c r="M12" s="545">
        <v>0</v>
      </c>
      <c r="N12" s="545">
        <v>0</v>
      </c>
      <c r="O12" s="545">
        <v>0</v>
      </c>
      <c r="P12" s="545">
        <v>0</v>
      </c>
      <c r="Q12" s="545">
        <v>0</v>
      </c>
      <c r="R12" s="545">
        <v>0</v>
      </c>
      <c r="S12" s="545">
        <v>0</v>
      </c>
      <c r="T12" s="545">
        <v>0</v>
      </c>
      <c r="U12" s="545">
        <v>0</v>
      </c>
      <c r="V12" s="545">
        <v>0</v>
      </c>
      <c r="W12" s="545">
        <v>0</v>
      </c>
      <c r="X12" s="545">
        <v>0</v>
      </c>
      <c r="Y12" s="545">
        <v>0</v>
      </c>
      <c r="Z12" s="545">
        <v>0</v>
      </c>
      <c r="AA12" s="545">
        <v>0</v>
      </c>
      <c r="AB12" s="545">
        <v>0</v>
      </c>
      <c r="AC12" s="545">
        <v>0</v>
      </c>
      <c r="AD12" s="545">
        <v>0</v>
      </c>
      <c r="AE12" s="545">
        <v>0</v>
      </c>
      <c r="AF12" s="545">
        <v>0</v>
      </c>
      <c r="AG12" s="545">
        <v>0</v>
      </c>
      <c r="AH12" s="545">
        <v>0</v>
      </c>
      <c r="AI12" s="545">
        <v>0</v>
      </c>
      <c r="AJ12" s="545">
        <v>0</v>
      </c>
      <c r="AK12" s="545">
        <v>0</v>
      </c>
      <c r="AL12" s="545">
        <v>0</v>
      </c>
      <c r="AM12" s="545">
        <v>0</v>
      </c>
      <c r="AN12" s="545">
        <v>0</v>
      </c>
      <c r="AO12" s="545">
        <v>0</v>
      </c>
      <c r="AP12" s="545">
        <v>0</v>
      </c>
      <c r="AQ12" s="545">
        <v>0</v>
      </c>
      <c r="AR12" s="545">
        <v>0</v>
      </c>
      <c r="AS12" s="545">
        <v>0</v>
      </c>
      <c r="AT12" s="545">
        <v>0</v>
      </c>
      <c r="AU12" s="545">
        <v>0</v>
      </c>
    </row>
    <row r="13" spans="1:105" s="555" customFormat="1" ht="11.5" x14ac:dyDescent="0.25">
      <c r="A13" s="551"/>
      <c r="B13" s="552"/>
      <c r="C13" s="553" t="s">
        <v>42</v>
      </c>
      <c r="D13" s="554">
        <f>SUM(D10:D12)</f>
        <v>18115000</v>
      </c>
      <c r="E13" s="554">
        <f t="shared" ref="E13:AU13" si="3">SUM(E10:E12)</f>
        <v>1500000</v>
      </c>
      <c r="F13" s="554">
        <f>SUM(F10:F12)</f>
        <v>17830000</v>
      </c>
      <c r="G13" s="554">
        <f>SUM(G10:G12)</f>
        <v>0</v>
      </c>
      <c r="H13" s="554">
        <f t="shared" si="3"/>
        <v>0</v>
      </c>
      <c r="I13" s="554">
        <f t="shared" si="3"/>
        <v>0</v>
      </c>
      <c r="J13" s="554">
        <f t="shared" si="3"/>
        <v>0</v>
      </c>
      <c r="K13" s="554">
        <f t="shared" si="3"/>
        <v>0</v>
      </c>
      <c r="L13" s="554">
        <f t="shared" si="3"/>
        <v>0</v>
      </c>
      <c r="M13" s="554">
        <f t="shared" si="3"/>
        <v>0</v>
      </c>
      <c r="N13" s="554">
        <f t="shared" si="3"/>
        <v>0</v>
      </c>
      <c r="O13" s="554">
        <f t="shared" si="3"/>
        <v>0</v>
      </c>
      <c r="P13" s="554">
        <f t="shared" si="3"/>
        <v>0</v>
      </c>
      <c r="Q13" s="554">
        <f t="shared" si="3"/>
        <v>0</v>
      </c>
      <c r="R13" s="554">
        <f t="shared" si="3"/>
        <v>0</v>
      </c>
      <c r="S13" s="554">
        <f t="shared" si="3"/>
        <v>0</v>
      </c>
      <c r="T13" s="554">
        <f t="shared" si="3"/>
        <v>0</v>
      </c>
      <c r="U13" s="554">
        <f t="shared" si="3"/>
        <v>0</v>
      </c>
      <c r="V13" s="554">
        <f t="shared" si="3"/>
        <v>0</v>
      </c>
      <c r="W13" s="554">
        <f t="shared" si="3"/>
        <v>0</v>
      </c>
      <c r="X13" s="554">
        <f t="shared" si="3"/>
        <v>0</v>
      </c>
      <c r="Y13" s="554">
        <f t="shared" si="3"/>
        <v>0</v>
      </c>
      <c r="Z13" s="554">
        <f t="shared" si="3"/>
        <v>0</v>
      </c>
      <c r="AA13" s="554">
        <f t="shared" si="3"/>
        <v>0</v>
      </c>
      <c r="AB13" s="554">
        <f t="shared" si="3"/>
        <v>0</v>
      </c>
      <c r="AC13" s="554">
        <f t="shared" si="3"/>
        <v>0</v>
      </c>
      <c r="AD13" s="554">
        <f t="shared" si="3"/>
        <v>0</v>
      </c>
      <c r="AE13" s="554">
        <f t="shared" si="3"/>
        <v>0</v>
      </c>
      <c r="AF13" s="554">
        <f t="shared" si="3"/>
        <v>0</v>
      </c>
      <c r="AG13" s="554">
        <f t="shared" si="3"/>
        <v>0</v>
      </c>
      <c r="AH13" s="554">
        <f t="shared" si="3"/>
        <v>0</v>
      </c>
      <c r="AI13" s="554">
        <f t="shared" si="3"/>
        <v>0</v>
      </c>
      <c r="AJ13" s="554">
        <f t="shared" si="3"/>
        <v>0</v>
      </c>
      <c r="AK13" s="554">
        <f t="shared" si="3"/>
        <v>0</v>
      </c>
      <c r="AL13" s="554">
        <f t="shared" si="3"/>
        <v>0</v>
      </c>
      <c r="AM13" s="554">
        <f t="shared" si="3"/>
        <v>0</v>
      </c>
      <c r="AN13" s="554">
        <f t="shared" si="3"/>
        <v>0</v>
      </c>
      <c r="AO13" s="554">
        <f t="shared" si="3"/>
        <v>0</v>
      </c>
      <c r="AP13" s="554">
        <f t="shared" si="3"/>
        <v>0</v>
      </c>
      <c r="AQ13" s="554">
        <f t="shared" si="3"/>
        <v>0</v>
      </c>
      <c r="AR13" s="554">
        <f t="shared" si="3"/>
        <v>0</v>
      </c>
      <c r="AS13" s="554">
        <f t="shared" si="3"/>
        <v>0</v>
      </c>
      <c r="AT13" s="554">
        <f t="shared" si="3"/>
        <v>0</v>
      </c>
      <c r="AU13" s="554">
        <f t="shared" si="3"/>
        <v>0</v>
      </c>
    </row>
    <row r="14" spans="1:105" s="538" customFormat="1" ht="11.5" x14ac:dyDescent="0.25">
      <c r="A14" s="539" t="s">
        <v>299</v>
      </c>
      <c r="B14" s="540"/>
      <c r="C14" s="540"/>
      <c r="D14" s="541" cm="1">
        <f t="array" ref="D14:AU14">Revenue_Landfill</f>
        <v>0</v>
      </c>
      <c r="E14" s="541">
        <v>474231.68735972134</v>
      </c>
      <c r="F14" s="541">
        <v>3101222.4642659002</v>
      </c>
      <c r="G14" s="541">
        <v>3775414.4220982287</v>
      </c>
      <c r="H14" s="541">
        <v>4226841.9129024427</v>
      </c>
      <c r="I14" s="541">
        <v>4331006.0117314057</v>
      </c>
      <c r="J14" s="541">
        <v>4438071.7324034767</v>
      </c>
      <c r="K14" s="541">
        <v>4130371.1377417208</v>
      </c>
      <c r="L14" s="541">
        <v>4233105.7941276515</v>
      </c>
      <c r="M14" s="541">
        <v>4338713.1437155707</v>
      </c>
      <c r="N14" s="541">
        <v>4859659.8781230031</v>
      </c>
      <c r="O14" s="541">
        <v>4981616.2174736392</v>
      </c>
      <c r="P14" s="541">
        <v>5106995.452836372</v>
      </c>
      <c r="Q14" s="541">
        <v>5398193.2560345409</v>
      </c>
      <c r="R14" s="541">
        <v>5534830.4326327052</v>
      </c>
      <c r="S14" s="541">
        <v>5675316.5810305839</v>
      </c>
      <c r="T14" s="541">
        <v>6359414.2255592663</v>
      </c>
      <c r="U14" s="541">
        <v>6521713.7788985623</v>
      </c>
      <c r="V14" s="541">
        <v>6688601.6236214479</v>
      </c>
      <c r="W14" s="541">
        <v>5866967.1004874799</v>
      </c>
      <c r="X14" s="541">
        <v>6017890.926212159</v>
      </c>
      <c r="Y14" s="541">
        <v>6173096.5114965551</v>
      </c>
      <c r="Z14" s="541">
        <v>6919923.6916047717</v>
      </c>
      <c r="AA14" s="541">
        <v>7099297.8271171274</v>
      </c>
      <c r="AB14" s="541">
        <v>7283778.5370553667</v>
      </c>
      <c r="AC14" s="541">
        <v>7889837.9500675527</v>
      </c>
      <c r="AD14" s="541">
        <v>8095861.7884382233</v>
      </c>
      <c r="AE14" s="541">
        <v>8307770.9285203256</v>
      </c>
      <c r="AF14" s="541">
        <v>9316306.6277788263</v>
      </c>
      <c r="AG14" s="541">
        <v>9561306.8515543621</v>
      </c>
      <c r="AH14" s="541">
        <v>9813329.3296262659</v>
      </c>
      <c r="AI14" s="541">
        <v>9209658.4321724363</v>
      </c>
      <c r="AJ14" s="541">
        <v>9453511.2294863705</v>
      </c>
      <c r="AK14" s="541">
        <v>9704376.5657678433</v>
      </c>
      <c r="AL14" s="541">
        <v>10886253.389281614</v>
      </c>
      <c r="AM14" s="541">
        <v>11176400.288757199</v>
      </c>
      <c r="AN14" s="541">
        <v>11474918.292994495</v>
      </c>
      <c r="AO14" s="541">
        <v>12548959.713145927</v>
      </c>
      <c r="AP14" s="541">
        <v>12885550.047060654</v>
      </c>
      <c r="AQ14" s="541">
        <v>13231882.752174523</v>
      </c>
      <c r="AR14" s="541">
        <v>14848248.186489498</v>
      </c>
      <c r="AS14" s="541">
        <v>15248956.058859045</v>
      </c>
      <c r="AT14" s="541">
        <v>15661299.054034116</v>
      </c>
      <c r="AU14" s="541">
        <v>8106779.83079236</v>
      </c>
    </row>
    <row r="15" spans="1:105" s="538" customFormat="1" ht="11.5" x14ac:dyDescent="0.25">
      <c r="A15" s="539" t="s">
        <v>300</v>
      </c>
      <c r="B15" s="556"/>
      <c r="C15" s="540"/>
      <c r="D15" s="541" cm="1">
        <f t="array" ref="D15:AU15">Revenue_Hauling</f>
        <v>0</v>
      </c>
      <c r="E15" s="541">
        <v>114550.53386025981</v>
      </c>
      <c r="F15" s="541">
        <v>723177.82992584386</v>
      </c>
      <c r="G15" s="541">
        <v>834217.31938067451</v>
      </c>
      <c r="H15" s="541">
        <v>881251.57340254635</v>
      </c>
      <c r="I15" s="541">
        <v>904627.56252766657</v>
      </c>
      <c r="J15" s="541">
        <v>928714.60256778274</v>
      </c>
      <c r="K15" s="541">
        <v>982850.7947384048</v>
      </c>
      <c r="L15" s="541">
        <v>1009126.8466054411</v>
      </c>
      <c r="M15" s="541">
        <v>1036177.5017773153</v>
      </c>
      <c r="N15" s="541">
        <v>1098468.8083262425</v>
      </c>
      <c r="O15" s="541">
        <v>1127930.6476156237</v>
      </c>
      <c r="P15" s="541">
        <v>1158245.6041973461</v>
      </c>
      <c r="Q15" s="541">
        <v>1230178.4868696472</v>
      </c>
      <c r="R15" s="541">
        <v>1263351.6365241772</v>
      </c>
      <c r="S15" s="541">
        <v>1297468.3257686177</v>
      </c>
      <c r="T15" s="541">
        <v>1380472.6811107467</v>
      </c>
      <c r="U15" s="541">
        <v>1417829.7225293161</v>
      </c>
      <c r="V15" s="541">
        <v>1456298.0949567852</v>
      </c>
      <c r="W15" s="541">
        <v>1552374.6969743187</v>
      </c>
      <c r="X15" s="541">
        <v>1594531.3979390597</v>
      </c>
      <c r="Y15" s="541">
        <v>1637977.1788484594</v>
      </c>
      <c r="Z15" s="541">
        <v>1496045.523541335</v>
      </c>
      <c r="AA15" s="541">
        <v>1537260.0381877688</v>
      </c>
      <c r="AB15" s="541">
        <v>1579602.2680520997</v>
      </c>
      <c r="AC15" s="541">
        <v>1676372.8298654321</v>
      </c>
      <c r="AD15" s="541">
        <v>1722735.2425265643</v>
      </c>
      <c r="AE15" s="541">
        <v>1770408.6359982516</v>
      </c>
      <c r="AF15" s="541">
        <v>1882314.716374543</v>
      </c>
      <c r="AG15" s="541">
        <v>1934539.4852824383</v>
      </c>
      <c r="AH15" s="541">
        <v>1988279.4844380303</v>
      </c>
      <c r="AI15" s="541">
        <v>2117790.4980224459</v>
      </c>
      <c r="AJ15" s="541">
        <v>1896313.43584384</v>
      </c>
      <c r="AK15" s="541">
        <v>1949587.2405005835</v>
      </c>
      <c r="AL15" s="541">
        <v>2064703.238581785</v>
      </c>
      <c r="AM15" s="541">
        <v>2122707.1659940532</v>
      </c>
      <c r="AN15" s="541">
        <v>2182523.7185901855</v>
      </c>
      <c r="AO15" s="541">
        <v>2315287.0182942399</v>
      </c>
      <c r="AP15" s="541">
        <v>2380645.0100606559</v>
      </c>
      <c r="AQ15" s="541">
        <v>2447874.7510368028</v>
      </c>
      <c r="AR15" s="541">
        <v>2601350.6748696477</v>
      </c>
      <c r="AS15" s="541">
        <v>2664853.8672583611</v>
      </c>
      <c r="AT15" s="541">
        <v>1702482.8967142524</v>
      </c>
      <c r="AU15" s="541">
        <v>1752036.0294247782</v>
      </c>
    </row>
    <row r="16" spans="1:105" s="393" customFormat="1" ht="14" x14ac:dyDescent="0.3">
      <c r="A16" s="398" t="s">
        <v>2</v>
      </c>
      <c r="B16" s="399"/>
      <c r="C16" s="399"/>
      <c r="D16" s="400">
        <f t="shared" ref="D16:AU16" si="4">SUM(D17,D39,D40)</f>
        <v>11944429</v>
      </c>
      <c r="E16" s="400">
        <f t="shared" si="4"/>
        <v>7717927.4686078085</v>
      </c>
      <c r="F16" s="400">
        <f t="shared" si="4"/>
        <v>21138532.543294825</v>
      </c>
      <c r="G16" s="400">
        <f t="shared" si="4"/>
        <v>4459781.9090818558</v>
      </c>
      <c r="H16" s="400">
        <f t="shared" si="4"/>
        <v>4717354.7048417944</v>
      </c>
      <c r="I16" s="400">
        <f t="shared" si="4"/>
        <v>4822798.8451478425</v>
      </c>
      <c r="J16" s="400">
        <f t="shared" si="4"/>
        <v>4936261.1204718538</v>
      </c>
      <c r="K16" s="400">
        <f t="shared" si="4"/>
        <v>5228298.1749127004</v>
      </c>
      <c r="L16" s="400">
        <f t="shared" si="4"/>
        <v>5352413.8919837829</v>
      </c>
      <c r="M16" s="400">
        <f t="shared" si="4"/>
        <v>5474808.4729990056</v>
      </c>
      <c r="N16" s="400">
        <f t="shared" si="4"/>
        <v>5843149.5246113706</v>
      </c>
      <c r="O16" s="400">
        <f t="shared" si="4"/>
        <v>6125413.6306613348</v>
      </c>
      <c r="P16" s="400">
        <f t="shared" si="4"/>
        <v>6170190.4595943242</v>
      </c>
      <c r="Q16" s="400">
        <f t="shared" si="4"/>
        <v>6560693.3048412427</v>
      </c>
      <c r="R16" s="400">
        <f t="shared" si="4"/>
        <v>6720979.0855057659</v>
      </c>
      <c r="S16" s="400">
        <f t="shared" si="4"/>
        <v>6880611.1621906394</v>
      </c>
      <c r="T16" s="400">
        <f t="shared" si="4"/>
        <v>7332997.8113434035</v>
      </c>
      <c r="U16" s="400">
        <f t="shared" si="4"/>
        <v>7514140.1637625806</v>
      </c>
      <c r="V16" s="400">
        <f t="shared" si="4"/>
        <v>7375588.4308816418</v>
      </c>
      <c r="W16" s="400">
        <f t="shared" si="4"/>
        <v>7861455.9677573126</v>
      </c>
      <c r="X16" s="400">
        <f t="shared" si="4"/>
        <v>8057272.2593935039</v>
      </c>
      <c r="Y16" s="400">
        <f t="shared" si="4"/>
        <v>8258607.0402194895</v>
      </c>
      <c r="Z16" s="400">
        <f t="shared" si="4"/>
        <v>8384065.534072211</v>
      </c>
      <c r="AA16" s="400">
        <f t="shared" si="4"/>
        <v>8594497.7780481335</v>
      </c>
      <c r="AB16" s="400">
        <f t="shared" si="4"/>
        <v>8810774.6747521833</v>
      </c>
      <c r="AC16" s="400">
        <f t="shared" si="4"/>
        <v>9415238.4409959354</v>
      </c>
      <c r="AD16" s="400">
        <f t="shared" si="4"/>
        <v>9653745.7716919016</v>
      </c>
      <c r="AE16" s="400">
        <f t="shared" si="4"/>
        <v>9898981.7342281416</v>
      </c>
      <c r="AF16" s="400">
        <f t="shared" si="4"/>
        <v>10601489.984027669</v>
      </c>
      <c r="AG16" s="400">
        <f t="shared" si="4"/>
        <v>10877552.934229353</v>
      </c>
      <c r="AH16" s="400">
        <f t="shared" si="4"/>
        <v>11156230.106376264</v>
      </c>
      <c r="AI16" s="400">
        <f t="shared" si="4"/>
        <v>11973944.14544009</v>
      </c>
      <c r="AJ16" s="400">
        <f t="shared" si="4"/>
        <v>11705396.928460032</v>
      </c>
      <c r="AK16" s="400">
        <f t="shared" si="4"/>
        <v>12012521.110454855</v>
      </c>
      <c r="AL16" s="400">
        <f t="shared" si="4"/>
        <v>12893120.473940643</v>
      </c>
      <c r="AM16" s="400">
        <f t="shared" si="4"/>
        <v>13232716.344723115</v>
      </c>
      <c r="AN16" s="400">
        <f t="shared" si="4"/>
        <v>13581999.74584581</v>
      </c>
      <c r="AO16" s="400">
        <f t="shared" si="4"/>
        <v>14609112.81966934</v>
      </c>
      <c r="AP16" s="400">
        <f t="shared" si="4"/>
        <v>15001445.030490724</v>
      </c>
      <c r="AQ16" s="400">
        <f t="shared" si="4"/>
        <v>15399622.460454224</v>
      </c>
      <c r="AR16" s="400">
        <f t="shared" si="4"/>
        <v>16599537.740056964</v>
      </c>
      <c r="AS16" s="400">
        <f t="shared" si="4"/>
        <v>17032178.370072793</v>
      </c>
      <c r="AT16" s="400">
        <f t="shared" si="4"/>
        <v>15072506.245655168</v>
      </c>
      <c r="AU16" s="400">
        <f t="shared" si="4"/>
        <v>15052944.631086353</v>
      </c>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row>
    <row r="17" spans="1:105" s="560" customFormat="1" ht="11.5" x14ac:dyDescent="0.25">
      <c r="A17" s="557" t="s">
        <v>298</v>
      </c>
      <c r="B17" s="558"/>
      <c r="C17" s="558"/>
      <c r="D17" s="559">
        <f t="shared" ref="D17:AU17" si="5">SUM(D22,D38)</f>
        <v>11944429</v>
      </c>
      <c r="E17" s="559">
        <f t="shared" si="5"/>
        <v>7189000</v>
      </c>
      <c r="F17" s="559">
        <f t="shared" si="5"/>
        <v>17829505</v>
      </c>
      <c r="G17" s="559">
        <f t="shared" si="5"/>
        <v>735912.5</v>
      </c>
      <c r="H17" s="559">
        <f t="shared" si="5"/>
        <v>739087.5</v>
      </c>
      <c r="I17" s="559">
        <f t="shared" si="5"/>
        <v>737000</v>
      </c>
      <c r="J17" s="559">
        <f t="shared" si="5"/>
        <v>739781.26</v>
      </c>
      <c r="K17" s="559">
        <f t="shared" si="5"/>
        <v>737300</v>
      </c>
      <c r="L17" s="559">
        <f t="shared" si="5"/>
        <v>739687.5</v>
      </c>
      <c r="M17" s="559">
        <f t="shared" si="5"/>
        <v>736812.5</v>
      </c>
      <c r="N17" s="559">
        <f t="shared" si="5"/>
        <v>738806.26</v>
      </c>
      <c r="O17" s="559">
        <f t="shared" si="5"/>
        <v>735537.5</v>
      </c>
      <c r="P17" s="559">
        <f t="shared" si="5"/>
        <v>737137.5</v>
      </c>
      <c r="Q17" s="559">
        <f t="shared" si="5"/>
        <v>738475</v>
      </c>
      <c r="R17" s="559">
        <f t="shared" si="5"/>
        <v>739550</v>
      </c>
      <c r="S17" s="559">
        <f t="shared" si="5"/>
        <v>735362.5</v>
      </c>
      <c r="T17" s="559">
        <f t="shared" si="5"/>
        <v>736043.76</v>
      </c>
      <c r="U17" s="559">
        <f t="shared" si="5"/>
        <v>736462.5</v>
      </c>
      <c r="V17" s="559">
        <f t="shared" si="5"/>
        <v>736618.76</v>
      </c>
      <c r="W17" s="559">
        <f t="shared" si="5"/>
        <v>736512.5</v>
      </c>
      <c r="X17" s="559">
        <f t="shared" si="5"/>
        <v>736143.76</v>
      </c>
      <c r="Y17" s="559">
        <f t="shared" si="5"/>
        <v>735512.5</v>
      </c>
      <c r="Z17" s="559">
        <f t="shared" si="5"/>
        <v>739618.76</v>
      </c>
      <c r="AA17" s="559">
        <f t="shared" si="5"/>
        <v>738331.26</v>
      </c>
      <c r="AB17" s="559">
        <f t="shared" si="5"/>
        <v>736781.26</v>
      </c>
      <c r="AC17" s="559">
        <f t="shared" si="5"/>
        <v>739968.76</v>
      </c>
      <c r="AD17" s="559">
        <f t="shared" si="5"/>
        <v>737762.5</v>
      </c>
      <c r="AE17" s="559">
        <f t="shared" si="5"/>
        <v>735293.76</v>
      </c>
      <c r="AF17" s="559">
        <f t="shared" si="5"/>
        <v>737562.5</v>
      </c>
      <c r="AG17" s="559">
        <f t="shared" si="5"/>
        <v>739437.5</v>
      </c>
      <c r="AH17" s="559">
        <f t="shared" si="5"/>
        <v>735918.76</v>
      </c>
      <c r="AI17" s="559">
        <f t="shared" si="5"/>
        <v>737137.5</v>
      </c>
      <c r="AJ17" s="559">
        <f t="shared" si="5"/>
        <v>737962.5</v>
      </c>
      <c r="AK17" s="559">
        <f t="shared" si="5"/>
        <v>738393.76</v>
      </c>
      <c r="AL17" s="559">
        <f t="shared" si="5"/>
        <v>738431.26</v>
      </c>
      <c r="AM17" s="559">
        <f t="shared" si="5"/>
        <v>738075</v>
      </c>
      <c r="AN17" s="559">
        <f t="shared" si="5"/>
        <v>737325</v>
      </c>
      <c r="AO17" s="559">
        <f t="shared" si="5"/>
        <v>736181.26</v>
      </c>
      <c r="AP17" s="559">
        <f t="shared" si="5"/>
        <v>739643.76</v>
      </c>
      <c r="AQ17" s="559">
        <f t="shared" si="5"/>
        <v>737581.26</v>
      </c>
      <c r="AR17" s="559">
        <f t="shared" si="5"/>
        <v>735125</v>
      </c>
      <c r="AS17" s="559">
        <f t="shared" si="5"/>
        <v>737275</v>
      </c>
      <c r="AT17" s="559">
        <f t="shared" si="5"/>
        <v>738900</v>
      </c>
      <c r="AU17" s="559">
        <f t="shared" si="5"/>
        <v>0</v>
      </c>
      <c r="AV17" s="538"/>
      <c r="AW17" s="538"/>
      <c r="AX17" s="538"/>
      <c r="AY17" s="538"/>
      <c r="AZ17" s="538"/>
      <c r="BA17" s="538"/>
      <c r="BB17" s="538"/>
      <c r="BC17" s="538"/>
      <c r="BD17" s="538"/>
      <c r="BE17" s="538"/>
      <c r="BF17" s="538"/>
      <c r="BG17" s="538"/>
      <c r="BH17" s="538"/>
      <c r="BI17" s="538"/>
      <c r="BJ17" s="538"/>
      <c r="BK17" s="538"/>
      <c r="BL17" s="538"/>
      <c r="BM17" s="538"/>
      <c r="BN17" s="538"/>
      <c r="BO17" s="538"/>
      <c r="BP17" s="538"/>
      <c r="BQ17" s="538"/>
      <c r="BR17" s="538"/>
      <c r="BS17" s="538"/>
      <c r="BT17" s="538"/>
      <c r="BU17" s="538"/>
      <c r="BV17" s="538"/>
      <c r="BW17" s="538"/>
      <c r="BX17" s="538"/>
      <c r="BY17" s="538"/>
      <c r="BZ17" s="538"/>
      <c r="CA17" s="538"/>
      <c r="CB17" s="538"/>
      <c r="CC17" s="538"/>
      <c r="CD17" s="538"/>
      <c r="CE17" s="538"/>
      <c r="CF17" s="538"/>
      <c r="CG17" s="538"/>
      <c r="CH17" s="538"/>
      <c r="CI17" s="538"/>
      <c r="CJ17" s="538"/>
      <c r="CK17" s="538"/>
      <c r="CL17" s="538"/>
      <c r="CM17" s="538"/>
      <c r="CN17" s="538"/>
      <c r="CO17" s="538"/>
      <c r="CP17" s="538"/>
      <c r="CQ17" s="538"/>
      <c r="CR17" s="538"/>
      <c r="CS17" s="538"/>
      <c r="CT17" s="538"/>
      <c r="CU17" s="538"/>
      <c r="CV17" s="538"/>
      <c r="CW17" s="538"/>
      <c r="CX17" s="538"/>
      <c r="CY17" s="538"/>
      <c r="CZ17" s="538"/>
      <c r="DA17" s="538"/>
    </row>
    <row r="18" spans="1:105" s="560" customFormat="1" ht="11.5" x14ac:dyDescent="0.25">
      <c r="A18" s="561" t="s">
        <v>6</v>
      </c>
      <c r="B18" s="562" t="s">
        <v>481</v>
      </c>
      <c r="D18" s="563"/>
      <c r="E18" s="563"/>
      <c r="F18" s="563"/>
      <c r="G18" s="563"/>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c r="AS18" s="563"/>
      <c r="AT18" s="563"/>
      <c r="AU18" s="563"/>
      <c r="AV18" s="538"/>
      <c r="AW18" s="538"/>
      <c r="AX18" s="538"/>
      <c r="AY18" s="538"/>
      <c r="AZ18" s="538"/>
      <c r="BA18" s="538"/>
      <c r="BB18" s="538"/>
      <c r="BC18" s="538"/>
      <c r="BD18" s="538"/>
      <c r="BE18" s="538"/>
      <c r="BF18" s="538"/>
      <c r="BG18" s="538"/>
      <c r="BH18" s="538"/>
      <c r="BI18" s="538"/>
      <c r="BJ18" s="538"/>
      <c r="BK18" s="538"/>
      <c r="BL18" s="538"/>
      <c r="BM18" s="538"/>
      <c r="BN18" s="538"/>
      <c r="BO18" s="538"/>
      <c r="BP18" s="538"/>
      <c r="BQ18" s="538"/>
      <c r="BR18" s="538"/>
      <c r="BS18" s="538"/>
      <c r="BT18" s="538"/>
      <c r="BU18" s="538"/>
      <c r="BV18" s="538"/>
      <c r="BW18" s="538"/>
      <c r="BX18" s="538"/>
      <c r="BY18" s="538"/>
      <c r="BZ18" s="538"/>
      <c r="CA18" s="538"/>
      <c r="CB18" s="538"/>
      <c r="CC18" s="538"/>
      <c r="CD18" s="538"/>
      <c r="CE18" s="538"/>
      <c r="CF18" s="538"/>
      <c r="CG18" s="538"/>
      <c r="CH18" s="538"/>
      <c r="CI18" s="538"/>
      <c r="CJ18" s="538"/>
      <c r="CK18" s="538"/>
      <c r="CL18" s="538"/>
      <c r="CM18" s="538"/>
      <c r="CN18" s="538"/>
      <c r="CO18" s="538"/>
      <c r="CP18" s="538"/>
      <c r="CQ18" s="538"/>
      <c r="CR18" s="538"/>
      <c r="CS18" s="538"/>
      <c r="CT18" s="538"/>
      <c r="CU18" s="538"/>
      <c r="CV18" s="538"/>
      <c r="CW18" s="538"/>
      <c r="CX18" s="538"/>
      <c r="CY18" s="538"/>
      <c r="CZ18" s="538"/>
      <c r="DA18" s="538"/>
    </row>
    <row r="19" spans="1:105" s="560" customFormat="1" ht="11.5" x14ac:dyDescent="0.25">
      <c r="A19" s="561"/>
      <c r="B19" s="562"/>
      <c r="C19" s="560" t="s">
        <v>303</v>
      </c>
      <c r="D19" s="563">
        <v>0</v>
      </c>
      <c r="E19" s="563">
        <v>0</v>
      </c>
      <c r="F19" s="563">
        <f>'2 Yr-Interim'!N24</f>
        <v>17829505</v>
      </c>
      <c r="G19" s="563">
        <v>0</v>
      </c>
      <c r="H19" s="563">
        <v>0</v>
      </c>
      <c r="I19" s="563">
        <v>0</v>
      </c>
      <c r="J19" s="563">
        <v>0</v>
      </c>
      <c r="K19" s="563">
        <v>0</v>
      </c>
      <c r="L19" s="563">
        <v>0</v>
      </c>
      <c r="M19" s="563">
        <v>0</v>
      </c>
      <c r="N19" s="563">
        <v>0</v>
      </c>
      <c r="O19" s="563">
        <v>0</v>
      </c>
      <c r="P19" s="563">
        <v>0</v>
      </c>
      <c r="Q19" s="563">
        <v>0</v>
      </c>
      <c r="R19" s="563">
        <v>0</v>
      </c>
      <c r="S19" s="563">
        <v>0</v>
      </c>
      <c r="T19" s="563">
        <v>0</v>
      </c>
      <c r="U19" s="563">
        <v>0</v>
      </c>
      <c r="V19" s="563">
        <v>0</v>
      </c>
      <c r="W19" s="563">
        <v>0</v>
      </c>
      <c r="X19" s="563">
        <v>0</v>
      </c>
      <c r="Y19" s="563">
        <v>0</v>
      </c>
      <c r="Z19" s="563">
        <v>0</v>
      </c>
      <c r="AA19" s="563">
        <v>0</v>
      </c>
      <c r="AB19" s="563">
        <v>0</v>
      </c>
      <c r="AC19" s="563">
        <v>0</v>
      </c>
      <c r="AD19" s="563">
        <v>0</v>
      </c>
      <c r="AE19" s="563">
        <v>0</v>
      </c>
      <c r="AF19" s="563">
        <v>0</v>
      </c>
      <c r="AG19" s="563">
        <v>0</v>
      </c>
      <c r="AH19" s="563">
        <v>0</v>
      </c>
      <c r="AI19" s="563">
        <v>0</v>
      </c>
      <c r="AJ19" s="563">
        <v>0</v>
      </c>
      <c r="AK19" s="563">
        <v>0</v>
      </c>
      <c r="AL19" s="563">
        <v>0</v>
      </c>
      <c r="AM19" s="563">
        <v>0</v>
      </c>
      <c r="AN19" s="563">
        <v>0</v>
      </c>
      <c r="AO19" s="563">
        <v>0</v>
      </c>
      <c r="AP19" s="563">
        <v>0</v>
      </c>
      <c r="AQ19" s="563">
        <v>0</v>
      </c>
      <c r="AR19" s="563">
        <v>0</v>
      </c>
      <c r="AS19" s="563">
        <v>0</v>
      </c>
      <c r="AT19" s="563">
        <v>0</v>
      </c>
      <c r="AU19" s="563">
        <v>0</v>
      </c>
      <c r="AV19" s="538"/>
      <c r="AW19" s="538"/>
      <c r="AX19" s="538"/>
      <c r="AY19" s="538"/>
      <c r="AZ19" s="538"/>
      <c r="BA19" s="538"/>
      <c r="BB19" s="538"/>
      <c r="BC19" s="538"/>
      <c r="BD19" s="538"/>
      <c r="BE19" s="538"/>
      <c r="BF19" s="538"/>
      <c r="BG19" s="538"/>
      <c r="BH19" s="538"/>
      <c r="BI19" s="538"/>
      <c r="BJ19" s="538"/>
      <c r="BK19" s="538"/>
      <c r="BL19" s="538"/>
      <c r="BM19" s="538"/>
      <c r="BN19" s="538"/>
      <c r="BO19" s="538"/>
      <c r="BP19" s="538"/>
      <c r="BQ19" s="538"/>
      <c r="BR19" s="538"/>
      <c r="BS19" s="538"/>
      <c r="BT19" s="538"/>
      <c r="BU19" s="538"/>
      <c r="BV19" s="538"/>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row>
    <row r="20" spans="1:105" s="560" customFormat="1" ht="11.5" x14ac:dyDescent="0.25">
      <c r="A20" s="561"/>
      <c r="B20" s="562"/>
      <c r="C20" s="560" t="s">
        <v>540</v>
      </c>
      <c r="D20" s="563">
        <v>0</v>
      </c>
      <c r="E20" s="563">
        <v>0</v>
      </c>
      <c r="F20" s="563">
        <v>0</v>
      </c>
      <c r="G20" s="563">
        <f t="array" ref="G20:AT20">TRANSPOSE('40-Year Bond'!N20:N59)</f>
        <v>735912.5</v>
      </c>
      <c r="H20" s="563">
        <v>739087.5</v>
      </c>
      <c r="I20" s="563">
        <v>737000</v>
      </c>
      <c r="J20" s="563">
        <v>739781.26</v>
      </c>
      <c r="K20" s="563">
        <v>737300</v>
      </c>
      <c r="L20" s="563">
        <v>739687.5</v>
      </c>
      <c r="M20" s="563">
        <v>736812.5</v>
      </c>
      <c r="N20" s="563">
        <v>738806.26</v>
      </c>
      <c r="O20" s="563">
        <v>735537.5</v>
      </c>
      <c r="P20" s="563">
        <v>737137.5</v>
      </c>
      <c r="Q20" s="563">
        <v>738475</v>
      </c>
      <c r="R20" s="563">
        <v>739550</v>
      </c>
      <c r="S20" s="563">
        <v>735362.5</v>
      </c>
      <c r="T20" s="563">
        <v>736043.76</v>
      </c>
      <c r="U20" s="563">
        <v>736462.5</v>
      </c>
      <c r="V20" s="563">
        <v>736618.76</v>
      </c>
      <c r="W20" s="563">
        <v>736512.5</v>
      </c>
      <c r="X20" s="563">
        <v>736143.76</v>
      </c>
      <c r="Y20" s="563">
        <v>735512.5</v>
      </c>
      <c r="Z20" s="563">
        <v>739618.76</v>
      </c>
      <c r="AA20" s="563">
        <v>738331.26</v>
      </c>
      <c r="AB20" s="563">
        <v>736781.26</v>
      </c>
      <c r="AC20" s="563">
        <v>739968.76</v>
      </c>
      <c r="AD20" s="563">
        <v>737762.5</v>
      </c>
      <c r="AE20" s="563">
        <v>735293.76</v>
      </c>
      <c r="AF20" s="563">
        <v>737562.5</v>
      </c>
      <c r="AG20" s="563">
        <v>739437.5</v>
      </c>
      <c r="AH20" s="563">
        <v>735918.76</v>
      </c>
      <c r="AI20" s="563">
        <v>737137.5</v>
      </c>
      <c r="AJ20" s="563">
        <v>737962.5</v>
      </c>
      <c r="AK20" s="563">
        <v>738393.76</v>
      </c>
      <c r="AL20" s="563">
        <v>738431.26</v>
      </c>
      <c r="AM20" s="563">
        <v>738075</v>
      </c>
      <c r="AN20" s="563">
        <v>737325</v>
      </c>
      <c r="AO20" s="563">
        <v>736181.26</v>
      </c>
      <c r="AP20" s="563">
        <v>739643.76</v>
      </c>
      <c r="AQ20" s="563">
        <v>737581.26</v>
      </c>
      <c r="AR20" s="563">
        <v>735125</v>
      </c>
      <c r="AS20" s="563">
        <v>737275</v>
      </c>
      <c r="AT20" s="563">
        <v>738900</v>
      </c>
      <c r="AU20" s="563">
        <v>0</v>
      </c>
      <c r="AV20" s="538"/>
      <c r="AW20" s="538"/>
      <c r="AX20" s="538"/>
      <c r="AY20" s="538"/>
      <c r="AZ20" s="538"/>
      <c r="BA20" s="538"/>
      <c r="BB20" s="538"/>
      <c r="BC20" s="538"/>
      <c r="BD20" s="538"/>
      <c r="BE20" s="538"/>
      <c r="BF20" s="538"/>
      <c r="BG20" s="538"/>
      <c r="BH20" s="538"/>
      <c r="BI20" s="538"/>
      <c r="BJ20" s="538"/>
      <c r="BK20" s="538"/>
      <c r="BL20" s="538"/>
      <c r="BM20" s="538"/>
      <c r="BN20" s="538"/>
      <c r="BO20" s="538"/>
      <c r="BP20" s="538"/>
      <c r="BQ20" s="538"/>
      <c r="BR20" s="538"/>
      <c r="BS20" s="538"/>
      <c r="BT20" s="538"/>
      <c r="BU20" s="538"/>
      <c r="BV20" s="538"/>
      <c r="BW20" s="538"/>
      <c r="BX20" s="538"/>
      <c r="BY20" s="538"/>
      <c r="BZ20" s="538"/>
      <c r="CA20" s="538"/>
      <c r="CB20" s="538"/>
      <c r="CC20" s="538"/>
      <c r="CD20" s="538"/>
      <c r="CE20" s="538"/>
      <c r="CF20" s="538"/>
      <c r="CG20" s="538"/>
      <c r="CH20" s="538"/>
      <c r="CI20" s="538"/>
      <c r="CJ20" s="538"/>
      <c r="CK20" s="538"/>
      <c r="CL20" s="538"/>
      <c r="CM20" s="538"/>
      <c r="CN20" s="538"/>
      <c r="CO20" s="538"/>
      <c r="CP20" s="538"/>
      <c r="CQ20" s="538"/>
      <c r="CR20" s="538"/>
      <c r="CS20" s="538"/>
      <c r="CT20" s="538"/>
      <c r="CU20" s="538"/>
      <c r="CV20" s="538"/>
      <c r="CW20" s="538"/>
      <c r="CX20" s="538"/>
      <c r="CY20" s="538"/>
      <c r="CZ20" s="538"/>
      <c r="DA20" s="538"/>
    </row>
    <row r="21" spans="1:105" s="560" customFormat="1" ht="11.5" x14ac:dyDescent="0.25">
      <c r="A21" s="561"/>
      <c r="B21" s="562"/>
      <c r="C21" s="560" t="s">
        <v>654</v>
      </c>
      <c r="D21" s="563">
        <v>0</v>
      </c>
      <c r="E21" s="563">
        <v>0</v>
      </c>
      <c r="F21" s="563">
        <v>0</v>
      </c>
      <c r="G21" s="563">
        <v>73752.899999999994</v>
      </c>
      <c r="H21" s="563">
        <v>73752.899999999994</v>
      </c>
      <c r="I21" s="563">
        <v>73752.899999999994</v>
      </c>
      <c r="J21" s="563">
        <v>73752.899999999994</v>
      </c>
      <c r="K21" s="563">
        <v>73752.899999999994</v>
      </c>
      <c r="L21" s="563">
        <v>73752.899999999994</v>
      </c>
      <c r="M21" s="563">
        <v>73752.899999999994</v>
      </c>
      <c r="N21" s="563">
        <v>73752.899999999994</v>
      </c>
      <c r="O21" s="563">
        <v>73752.899999999994</v>
      </c>
      <c r="P21" s="563">
        <v>73752.899999999994</v>
      </c>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38"/>
      <c r="AW21" s="538"/>
      <c r="AX21" s="538"/>
      <c r="AY21" s="538"/>
      <c r="AZ21" s="538"/>
      <c r="BA21" s="538"/>
      <c r="BB21" s="538"/>
      <c r="BC21" s="538"/>
      <c r="BD21" s="538"/>
      <c r="BE21" s="538"/>
      <c r="BF21" s="538"/>
      <c r="BG21" s="538"/>
      <c r="BH21" s="538"/>
      <c r="BI21" s="538"/>
      <c r="BJ21" s="538"/>
      <c r="BK21" s="538"/>
      <c r="BL21" s="538"/>
      <c r="BM21" s="538"/>
      <c r="BN21" s="538"/>
      <c r="BO21" s="538"/>
      <c r="BP21" s="538"/>
      <c r="BQ21" s="538"/>
      <c r="BR21" s="538"/>
      <c r="BS21" s="538"/>
      <c r="BT21" s="538"/>
      <c r="BU21" s="538"/>
      <c r="BV21" s="538"/>
      <c r="BW21" s="538"/>
      <c r="BX21" s="538"/>
      <c r="BY21" s="538"/>
      <c r="BZ21" s="538"/>
      <c r="CA21" s="538"/>
      <c r="CB21" s="538"/>
      <c r="CC21" s="538"/>
      <c r="CD21" s="538"/>
      <c r="CE21" s="538"/>
      <c r="CF21" s="538"/>
      <c r="CG21" s="538"/>
      <c r="CH21" s="538"/>
      <c r="CI21" s="538"/>
      <c r="CJ21" s="538"/>
      <c r="CK21" s="538"/>
      <c r="CL21" s="538"/>
      <c r="CM21" s="538"/>
      <c r="CN21" s="538"/>
      <c r="CO21" s="538"/>
      <c r="CP21" s="538"/>
      <c r="CQ21" s="538"/>
      <c r="CR21" s="538"/>
      <c r="CS21" s="538"/>
      <c r="CT21" s="538"/>
      <c r="CU21" s="538"/>
      <c r="CV21" s="538"/>
      <c r="CW21" s="538"/>
      <c r="CX21" s="538"/>
      <c r="CY21" s="538"/>
      <c r="CZ21" s="538"/>
      <c r="DA21" s="538"/>
    </row>
    <row r="22" spans="1:105" s="565" customFormat="1" ht="11.5" x14ac:dyDescent="0.25">
      <c r="A22" s="564"/>
      <c r="C22" s="566" t="s">
        <v>42</v>
      </c>
      <c r="D22" s="567">
        <f>SUM(D19:D21)</f>
        <v>0</v>
      </c>
      <c r="E22" s="567">
        <f t="shared" ref="E22:AU22" si="6">SUM(E19:E20)</f>
        <v>0</v>
      </c>
      <c r="F22" s="567">
        <f>SUM(F19:F20)</f>
        <v>17829505</v>
      </c>
      <c r="G22" s="567">
        <f>SUM(G19:G20)</f>
        <v>735912.5</v>
      </c>
      <c r="H22" s="567">
        <f t="shared" si="6"/>
        <v>739087.5</v>
      </c>
      <c r="I22" s="567">
        <f t="shared" si="6"/>
        <v>737000</v>
      </c>
      <c r="J22" s="567">
        <f t="shared" si="6"/>
        <v>739781.26</v>
      </c>
      <c r="K22" s="567">
        <f t="shared" si="6"/>
        <v>737300</v>
      </c>
      <c r="L22" s="567">
        <f t="shared" si="6"/>
        <v>739687.5</v>
      </c>
      <c r="M22" s="567">
        <f t="shared" si="6"/>
        <v>736812.5</v>
      </c>
      <c r="N22" s="567">
        <f t="shared" si="6"/>
        <v>738806.26</v>
      </c>
      <c r="O22" s="567">
        <f t="shared" si="6"/>
        <v>735537.5</v>
      </c>
      <c r="P22" s="567">
        <f t="shared" si="6"/>
        <v>737137.5</v>
      </c>
      <c r="Q22" s="567">
        <f t="shared" si="6"/>
        <v>738475</v>
      </c>
      <c r="R22" s="567">
        <f t="shared" si="6"/>
        <v>739550</v>
      </c>
      <c r="S22" s="567">
        <f t="shared" si="6"/>
        <v>735362.5</v>
      </c>
      <c r="T22" s="567">
        <f t="shared" si="6"/>
        <v>736043.76</v>
      </c>
      <c r="U22" s="567">
        <f t="shared" si="6"/>
        <v>736462.5</v>
      </c>
      <c r="V22" s="567">
        <f t="shared" si="6"/>
        <v>736618.76</v>
      </c>
      <c r="W22" s="567">
        <f t="shared" si="6"/>
        <v>736512.5</v>
      </c>
      <c r="X22" s="567">
        <f t="shared" si="6"/>
        <v>736143.76</v>
      </c>
      <c r="Y22" s="567">
        <f t="shared" si="6"/>
        <v>735512.5</v>
      </c>
      <c r="Z22" s="567">
        <f t="shared" si="6"/>
        <v>739618.76</v>
      </c>
      <c r="AA22" s="567">
        <f t="shared" si="6"/>
        <v>738331.26</v>
      </c>
      <c r="AB22" s="567">
        <f t="shared" si="6"/>
        <v>736781.26</v>
      </c>
      <c r="AC22" s="567">
        <f t="shared" si="6"/>
        <v>739968.76</v>
      </c>
      <c r="AD22" s="567">
        <f t="shared" si="6"/>
        <v>737762.5</v>
      </c>
      <c r="AE22" s="567">
        <f t="shared" si="6"/>
        <v>735293.76</v>
      </c>
      <c r="AF22" s="567">
        <f t="shared" si="6"/>
        <v>737562.5</v>
      </c>
      <c r="AG22" s="567">
        <f t="shared" si="6"/>
        <v>739437.5</v>
      </c>
      <c r="AH22" s="567">
        <f t="shared" si="6"/>
        <v>735918.76</v>
      </c>
      <c r="AI22" s="567">
        <f t="shared" si="6"/>
        <v>737137.5</v>
      </c>
      <c r="AJ22" s="567">
        <f t="shared" si="6"/>
        <v>737962.5</v>
      </c>
      <c r="AK22" s="567">
        <f t="shared" si="6"/>
        <v>738393.76</v>
      </c>
      <c r="AL22" s="567">
        <f t="shared" si="6"/>
        <v>738431.26</v>
      </c>
      <c r="AM22" s="567">
        <f t="shared" si="6"/>
        <v>738075</v>
      </c>
      <c r="AN22" s="567">
        <f t="shared" si="6"/>
        <v>737325</v>
      </c>
      <c r="AO22" s="567">
        <f t="shared" si="6"/>
        <v>736181.26</v>
      </c>
      <c r="AP22" s="567">
        <f t="shared" si="6"/>
        <v>739643.76</v>
      </c>
      <c r="AQ22" s="567">
        <f t="shared" si="6"/>
        <v>737581.26</v>
      </c>
      <c r="AR22" s="567">
        <f t="shared" si="6"/>
        <v>735125</v>
      </c>
      <c r="AS22" s="567">
        <f t="shared" si="6"/>
        <v>737275</v>
      </c>
      <c r="AT22" s="567">
        <f>SUM(AT19:AT20)</f>
        <v>738900</v>
      </c>
      <c r="AU22" s="567">
        <f t="shared" si="6"/>
        <v>0</v>
      </c>
      <c r="AV22" s="555"/>
      <c r="AW22" s="555"/>
      <c r="AX22" s="555"/>
      <c r="AY22" s="555"/>
      <c r="AZ22" s="555"/>
      <c r="BA22" s="555"/>
      <c r="BB22" s="555"/>
      <c r="BC22" s="555"/>
      <c r="BD22" s="555"/>
      <c r="BE22" s="555"/>
      <c r="BF22" s="555"/>
      <c r="BG22" s="555"/>
      <c r="BH22" s="555"/>
      <c r="BI22" s="555"/>
      <c r="BJ22" s="555"/>
      <c r="BK22" s="555"/>
      <c r="BL22" s="555"/>
      <c r="BM22" s="555"/>
      <c r="BN22" s="555"/>
      <c r="BO22" s="555"/>
      <c r="BP22" s="555"/>
      <c r="BQ22" s="555"/>
      <c r="BR22" s="555"/>
      <c r="BS22" s="555"/>
      <c r="BT22" s="555"/>
      <c r="BU22" s="555"/>
      <c r="BV22" s="555"/>
      <c r="BW22" s="555"/>
      <c r="BX22" s="555"/>
      <c r="BY22" s="555"/>
      <c r="BZ22" s="555"/>
      <c r="CA22" s="555"/>
      <c r="CB22" s="555"/>
      <c r="CC22" s="555"/>
      <c r="CD22" s="555"/>
      <c r="CE22" s="555"/>
      <c r="CF22" s="555"/>
      <c r="CG22" s="555"/>
      <c r="CH22" s="555"/>
      <c r="CI22" s="555"/>
      <c r="CJ22" s="555"/>
      <c r="CK22" s="555"/>
      <c r="CL22" s="555"/>
      <c r="CM22" s="555"/>
      <c r="CN22" s="555"/>
      <c r="CO22" s="555"/>
      <c r="CP22" s="555"/>
      <c r="CQ22" s="555"/>
      <c r="CR22" s="555"/>
      <c r="CS22" s="555"/>
      <c r="CT22" s="555"/>
      <c r="CU22" s="555"/>
      <c r="CV22" s="555"/>
      <c r="CW22" s="555"/>
      <c r="CX22" s="555"/>
      <c r="CY22" s="555"/>
      <c r="CZ22" s="555"/>
      <c r="DA22" s="555"/>
    </row>
    <row r="23" spans="1:105" s="565" customFormat="1" ht="11.5" x14ac:dyDescent="0.25">
      <c r="A23" s="561" t="s">
        <v>7</v>
      </c>
      <c r="B23" s="562" t="s">
        <v>482</v>
      </c>
      <c r="C23" s="566"/>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55"/>
      <c r="AW23" s="555"/>
      <c r="AX23" s="555"/>
      <c r="AY23" s="555"/>
      <c r="AZ23" s="555"/>
      <c r="BA23" s="555"/>
      <c r="BB23" s="555"/>
      <c r="BC23" s="555"/>
      <c r="BD23" s="555"/>
      <c r="BE23" s="555"/>
      <c r="BF23" s="555"/>
      <c r="BG23" s="555"/>
      <c r="BH23" s="555"/>
      <c r="BI23" s="555"/>
      <c r="BJ23" s="555"/>
      <c r="BK23" s="555"/>
      <c r="BL23" s="555"/>
      <c r="BM23" s="555"/>
      <c r="BN23" s="555"/>
      <c r="BO23" s="555"/>
      <c r="BP23" s="555"/>
      <c r="BQ23" s="555"/>
      <c r="BR23" s="555"/>
      <c r="BS23" s="555"/>
      <c r="BT23" s="555"/>
      <c r="BU23" s="555"/>
      <c r="BV23" s="555"/>
      <c r="BW23" s="555"/>
      <c r="BX23" s="555"/>
      <c r="BY23" s="555"/>
      <c r="BZ23" s="555"/>
      <c r="CA23" s="555"/>
      <c r="CB23" s="555"/>
      <c r="CC23" s="555"/>
      <c r="CD23" s="555"/>
      <c r="CE23" s="555"/>
      <c r="CF23" s="555"/>
      <c r="CG23" s="555"/>
      <c r="CH23" s="555"/>
      <c r="CI23" s="555"/>
      <c r="CJ23" s="555"/>
      <c r="CK23" s="555"/>
      <c r="CL23" s="555"/>
      <c r="CM23" s="555"/>
      <c r="CN23" s="555"/>
      <c r="CO23" s="555"/>
      <c r="CP23" s="555"/>
      <c r="CQ23" s="555"/>
      <c r="CR23" s="555"/>
      <c r="CS23" s="555"/>
      <c r="CT23" s="555"/>
      <c r="CU23" s="555"/>
      <c r="CV23" s="555"/>
      <c r="CW23" s="555"/>
      <c r="CX23" s="555"/>
      <c r="CY23" s="555"/>
      <c r="CZ23" s="555"/>
      <c r="DA23" s="555"/>
    </row>
    <row r="24" spans="1:105" s="565" customFormat="1" ht="11.5" x14ac:dyDescent="0.25">
      <c r="A24" s="561"/>
      <c r="B24" s="562"/>
      <c r="C24" s="560" t="s">
        <v>61</v>
      </c>
      <c r="D24" s="563">
        <f>'Capitol Costs'!C4</f>
        <v>3238000</v>
      </c>
      <c r="E24" s="563">
        <v>0</v>
      </c>
      <c r="F24" s="563">
        <v>0</v>
      </c>
      <c r="G24" s="563">
        <v>0</v>
      </c>
      <c r="H24" s="563">
        <v>0</v>
      </c>
      <c r="I24" s="563">
        <v>0</v>
      </c>
      <c r="J24" s="563">
        <v>0</v>
      </c>
      <c r="K24" s="563">
        <v>0</v>
      </c>
      <c r="L24" s="563">
        <v>0</v>
      </c>
      <c r="M24" s="563">
        <v>0</v>
      </c>
      <c r="N24" s="563">
        <v>0</v>
      </c>
      <c r="O24" s="563">
        <v>0</v>
      </c>
      <c r="P24" s="563">
        <v>0</v>
      </c>
      <c r="Q24" s="563">
        <v>0</v>
      </c>
      <c r="R24" s="563">
        <v>0</v>
      </c>
      <c r="S24" s="563">
        <v>0</v>
      </c>
      <c r="T24" s="563">
        <v>0</v>
      </c>
      <c r="U24" s="563">
        <v>0</v>
      </c>
      <c r="V24" s="563">
        <v>0</v>
      </c>
      <c r="W24" s="563">
        <v>0</v>
      </c>
      <c r="X24" s="563">
        <v>0</v>
      </c>
      <c r="Y24" s="563">
        <v>0</v>
      </c>
      <c r="Z24" s="563">
        <v>0</v>
      </c>
      <c r="AA24" s="563">
        <v>0</v>
      </c>
      <c r="AB24" s="563">
        <v>0</v>
      </c>
      <c r="AC24" s="563">
        <v>0</v>
      </c>
      <c r="AD24" s="563">
        <v>0</v>
      </c>
      <c r="AE24" s="563">
        <v>0</v>
      </c>
      <c r="AF24" s="563">
        <v>0</v>
      </c>
      <c r="AG24" s="563">
        <v>0</v>
      </c>
      <c r="AH24" s="563">
        <v>0</v>
      </c>
      <c r="AI24" s="563">
        <v>0</v>
      </c>
      <c r="AJ24" s="563">
        <v>0</v>
      </c>
      <c r="AK24" s="563">
        <v>0</v>
      </c>
      <c r="AL24" s="563">
        <v>0</v>
      </c>
      <c r="AM24" s="563">
        <v>0</v>
      </c>
      <c r="AN24" s="563">
        <v>0</v>
      </c>
      <c r="AO24" s="563">
        <v>0</v>
      </c>
      <c r="AP24" s="563">
        <v>0</v>
      </c>
      <c r="AQ24" s="563">
        <v>0</v>
      </c>
      <c r="AR24" s="563">
        <v>0</v>
      </c>
      <c r="AS24" s="563">
        <v>0</v>
      </c>
      <c r="AT24" s="563">
        <v>0</v>
      </c>
      <c r="AU24" s="563">
        <v>0</v>
      </c>
      <c r="AV24" s="555"/>
      <c r="AW24" s="555"/>
      <c r="AX24" s="555"/>
      <c r="AY24" s="555"/>
      <c r="AZ24" s="555"/>
      <c r="BA24" s="555"/>
      <c r="BB24" s="555"/>
      <c r="BC24" s="555"/>
      <c r="BD24" s="555"/>
      <c r="BE24" s="555"/>
      <c r="BF24" s="555"/>
      <c r="BG24" s="555"/>
      <c r="BH24" s="555"/>
      <c r="BI24" s="555"/>
      <c r="BJ24" s="555"/>
      <c r="BK24" s="555"/>
      <c r="BL24" s="555"/>
      <c r="BM24" s="555"/>
      <c r="BN24" s="555"/>
      <c r="BO24" s="555"/>
      <c r="BP24" s="555"/>
      <c r="BQ24" s="555"/>
      <c r="BR24" s="555"/>
      <c r="BS24" s="555"/>
      <c r="BT24" s="555"/>
      <c r="BU24" s="555"/>
      <c r="BV24" s="555"/>
      <c r="BW24" s="555"/>
      <c r="BX24" s="555"/>
      <c r="BY24" s="555"/>
      <c r="BZ24" s="555"/>
      <c r="CA24" s="555"/>
      <c r="CB24" s="555"/>
      <c r="CC24" s="555"/>
      <c r="CD24" s="555"/>
      <c r="CE24" s="555"/>
      <c r="CF24" s="555"/>
      <c r="CG24" s="555"/>
      <c r="CH24" s="555"/>
      <c r="CI24" s="555"/>
      <c r="CJ24" s="555"/>
      <c r="CK24" s="555"/>
      <c r="CL24" s="555"/>
      <c r="CM24" s="555"/>
      <c r="CN24" s="555"/>
      <c r="CO24" s="555"/>
      <c r="CP24" s="555"/>
      <c r="CQ24" s="555"/>
      <c r="CR24" s="555"/>
      <c r="CS24" s="555"/>
      <c r="CT24" s="555"/>
      <c r="CU24" s="555"/>
      <c r="CV24" s="555"/>
      <c r="CW24" s="555"/>
      <c r="CX24" s="555"/>
      <c r="CY24" s="555"/>
      <c r="CZ24" s="555"/>
      <c r="DA24" s="555"/>
    </row>
    <row r="25" spans="1:105" s="565" customFormat="1" ht="11.5" x14ac:dyDescent="0.25">
      <c r="A25" s="561"/>
      <c r="B25" s="562"/>
      <c r="C25" s="560" t="s">
        <v>486</v>
      </c>
      <c r="D25" s="563">
        <f>'Capitol Costs'!C5</f>
        <v>120000</v>
      </c>
      <c r="E25" s="563">
        <v>0</v>
      </c>
      <c r="F25" s="563">
        <v>0</v>
      </c>
      <c r="G25" s="563">
        <v>0</v>
      </c>
      <c r="H25" s="563">
        <v>0</v>
      </c>
      <c r="I25" s="563">
        <v>0</v>
      </c>
      <c r="J25" s="563">
        <v>0</v>
      </c>
      <c r="K25" s="563">
        <v>0</v>
      </c>
      <c r="L25" s="563">
        <v>0</v>
      </c>
      <c r="M25" s="563">
        <v>0</v>
      </c>
      <c r="N25" s="563">
        <v>0</v>
      </c>
      <c r="O25" s="563">
        <v>0</v>
      </c>
      <c r="P25" s="563">
        <v>0</v>
      </c>
      <c r="Q25" s="563">
        <v>0</v>
      </c>
      <c r="R25" s="563">
        <v>0</v>
      </c>
      <c r="S25" s="563">
        <v>0</v>
      </c>
      <c r="T25" s="563">
        <v>0</v>
      </c>
      <c r="U25" s="563">
        <v>0</v>
      </c>
      <c r="V25" s="563">
        <v>0</v>
      </c>
      <c r="W25" s="563">
        <v>0</v>
      </c>
      <c r="X25" s="563">
        <v>0</v>
      </c>
      <c r="Y25" s="563">
        <v>0</v>
      </c>
      <c r="Z25" s="563">
        <v>0</v>
      </c>
      <c r="AA25" s="563">
        <v>0</v>
      </c>
      <c r="AB25" s="563">
        <v>0</v>
      </c>
      <c r="AC25" s="563">
        <v>0</v>
      </c>
      <c r="AD25" s="563">
        <v>0</v>
      </c>
      <c r="AE25" s="563">
        <v>0</v>
      </c>
      <c r="AF25" s="563">
        <v>0</v>
      </c>
      <c r="AG25" s="563">
        <v>0</v>
      </c>
      <c r="AH25" s="563">
        <v>0</v>
      </c>
      <c r="AI25" s="563">
        <v>0</v>
      </c>
      <c r="AJ25" s="563">
        <v>0</v>
      </c>
      <c r="AK25" s="563">
        <v>0</v>
      </c>
      <c r="AL25" s="563">
        <v>0</v>
      </c>
      <c r="AM25" s="563">
        <v>0</v>
      </c>
      <c r="AN25" s="563">
        <v>0</v>
      </c>
      <c r="AO25" s="563">
        <v>0</v>
      </c>
      <c r="AP25" s="563">
        <v>0</v>
      </c>
      <c r="AQ25" s="563">
        <v>0</v>
      </c>
      <c r="AR25" s="563">
        <v>0</v>
      </c>
      <c r="AS25" s="563">
        <v>0</v>
      </c>
      <c r="AT25" s="563">
        <v>0</v>
      </c>
      <c r="AU25" s="563">
        <v>0</v>
      </c>
      <c r="AV25" s="555"/>
      <c r="AW25" s="555"/>
      <c r="AX25" s="555"/>
      <c r="AY25" s="555"/>
      <c r="AZ25" s="555"/>
      <c r="BA25" s="555"/>
      <c r="BB25" s="555"/>
      <c r="BC25" s="555"/>
      <c r="BD25" s="555"/>
      <c r="BE25" s="555"/>
      <c r="BF25" s="555"/>
      <c r="BG25" s="555"/>
      <c r="BH25" s="555"/>
      <c r="BI25" s="555"/>
      <c r="BJ25" s="555"/>
      <c r="BK25" s="555"/>
      <c r="BL25" s="555"/>
      <c r="BM25" s="555"/>
      <c r="BN25" s="555"/>
      <c r="BO25" s="555"/>
      <c r="BP25" s="555"/>
      <c r="BQ25" s="555"/>
      <c r="BR25" s="555"/>
      <c r="BS25" s="555"/>
      <c r="BT25" s="555"/>
      <c r="BU25" s="555"/>
      <c r="BV25" s="555"/>
      <c r="BW25" s="555"/>
      <c r="BX25" s="555"/>
      <c r="BY25" s="555"/>
      <c r="BZ25" s="555"/>
      <c r="CA25" s="555"/>
      <c r="CB25" s="555"/>
      <c r="CC25" s="555"/>
      <c r="CD25" s="555"/>
      <c r="CE25" s="555"/>
      <c r="CF25" s="555"/>
      <c r="CG25" s="555"/>
      <c r="CH25" s="555"/>
      <c r="CI25" s="555"/>
      <c r="CJ25" s="555"/>
      <c r="CK25" s="555"/>
      <c r="CL25" s="555"/>
      <c r="CM25" s="555"/>
      <c r="CN25" s="555"/>
      <c r="CO25" s="555"/>
      <c r="CP25" s="555"/>
      <c r="CQ25" s="555"/>
      <c r="CR25" s="555"/>
      <c r="CS25" s="555"/>
      <c r="CT25" s="555"/>
      <c r="CU25" s="555"/>
      <c r="CV25" s="555"/>
      <c r="CW25" s="555"/>
      <c r="CX25" s="555"/>
      <c r="CY25" s="555"/>
      <c r="CZ25" s="555"/>
      <c r="DA25" s="555"/>
    </row>
    <row r="26" spans="1:105" s="565" customFormat="1" ht="11.5" x14ac:dyDescent="0.25">
      <c r="A26" s="561"/>
      <c r="B26" s="562"/>
      <c r="C26" s="560" t="s">
        <v>487</v>
      </c>
      <c r="D26" s="563">
        <f>'Capitol Costs'!C6</f>
        <v>117000</v>
      </c>
      <c r="E26" s="563">
        <v>0</v>
      </c>
      <c r="F26" s="563">
        <v>0</v>
      </c>
      <c r="G26" s="563">
        <v>0</v>
      </c>
      <c r="H26" s="563">
        <v>0</v>
      </c>
      <c r="I26" s="563">
        <v>0</v>
      </c>
      <c r="J26" s="563">
        <v>0</v>
      </c>
      <c r="K26" s="563">
        <v>0</v>
      </c>
      <c r="L26" s="563">
        <v>0</v>
      </c>
      <c r="M26" s="563">
        <v>0</v>
      </c>
      <c r="N26" s="563">
        <v>0</v>
      </c>
      <c r="O26" s="563">
        <v>0</v>
      </c>
      <c r="P26" s="563">
        <v>0</v>
      </c>
      <c r="Q26" s="563">
        <v>0</v>
      </c>
      <c r="R26" s="563">
        <v>0</v>
      </c>
      <c r="S26" s="563">
        <v>0</v>
      </c>
      <c r="T26" s="563">
        <v>0</v>
      </c>
      <c r="U26" s="563">
        <v>0</v>
      </c>
      <c r="V26" s="563">
        <v>0</v>
      </c>
      <c r="W26" s="563">
        <v>0</v>
      </c>
      <c r="X26" s="563">
        <v>0</v>
      </c>
      <c r="Y26" s="563">
        <v>0</v>
      </c>
      <c r="Z26" s="563">
        <v>0</v>
      </c>
      <c r="AA26" s="563">
        <v>0</v>
      </c>
      <c r="AB26" s="563">
        <v>0</v>
      </c>
      <c r="AC26" s="563">
        <v>0</v>
      </c>
      <c r="AD26" s="563">
        <v>0</v>
      </c>
      <c r="AE26" s="563">
        <v>0</v>
      </c>
      <c r="AF26" s="563">
        <v>0</v>
      </c>
      <c r="AG26" s="563">
        <v>0</v>
      </c>
      <c r="AH26" s="563">
        <v>0</v>
      </c>
      <c r="AI26" s="563">
        <v>0</v>
      </c>
      <c r="AJ26" s="563">
        <v>0</v>
      </c>
      <c r="AK26" s="563">
        <v>0</v>
      </c>
      <c r="AL26" s="563">
        <v>0</v>
      </c>
      <c r="AM26" s="563">
        <v>0</v>
      </c>
      <c r="AN26" s="563">
        <v>0</v>
      </c>
      <c r="AO26" s="563">
        <v>0</v>
      </c>
      <c r="AP26" s="563">
        <v>0</v>
      </c>
      <c r="AQ26" s="563">
        <v>0</v>
      </c>
      <c r="AR26" s="563">
        <v>0</v>
      </c>
      <c r="AS26" s="563">
        <v>0</v>
      </c>
      <c r="AT26" s="563">
        <v>0</v>
      </c>
      <c r="AU26" s="563">
        <v>0</v>
      </c>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55"/>
      <c r="DA26" s="555"/>
    </row>
    <row r="27" spans="1:105" s="565" customFormat="1" ht="11.5" x14ac:dyDescent="0.25">
      <c r="A27" s="561"/>
      <c r="B27" s="562"/>
      <c r="C27" s="560" t="s">
        <v>488</v>
      </c>
      <c r="D27" s="563">
        <f>'Capitol Costs'!C7</f>
        <v>645000</v>
      </c>
      <c r="E27" s="563">
        <v>0</v>
      </c>
      <c r="F27" s="563">
        <v>0</v>
      </c>
      <c r="G27" s="563">
        <v>0</v>
      </c>
      <c r="H27" s="563">
        <v>0</v>
      </c>
      <c r="I27" s="563">
        <v>0</v>
      </c>
      <c r="J27" s="563">
        <v>0</v>
      </c>
      <c r="K27" s="563">
        <v>0</v>
      </c>
      <c r="L27" s="563">
        <v>0</v>
      </c>
      <c r="M27" s="563">
        <v>0</v>
      </c>
      <c r="N27" s="563">
        <v>0</v>
      </c>
      <c r="O27" s="563">
        <v>0</v>
      </c>
      <c r="P27" s="563">
        <v>0</v>
      </c>
      <c r="Q27" s="563">
        <v>0</v>
      </c>
      <c r="R27" s="563">
        <v>0</v>
      </c>
      <c r="S27" s="563">
        <v>0</v>
      </c>
      <c r="T27" s="563">
        <v>0</v>
      </c>
      <c r="U27" s="563">
        <v>0</v>
      </c>
      <c r="V27" s="563">
        <v>0</v>
      </c>
      <c r="W27" s="563">
        <v>0</v>
      </c>
      <c r="X27" s="563">
        <v>0</v>
      </c>
      <c r="Y27" s="563">
        <v>0</v>
      </c>
      <c r="Z27" s="563">
        <v>0</v>
      </c>
      <c r="AA27" s="563">
        <v>0</v>
      </c>
      <c r="AB27" s="563">
        <v>0</v>
      </c>
      <c r="AC27" s="563">
        <v>0</v>
      </c>
      <c r="AD27" s="563">
        <v>0</v>
      </c>
      <c r="AE27" s="563">
        <v>0</v>
      </c>
      <c r="AF27" s="563">
        <v>0</v>
      </c>
      <c r="AG27" s="563">
        <v>0</v>
      </c>
      <c r="AH27" s="563">
        <v>0</v>
      </c>
      <c r="AI27" s="563">
        <v>0</v>
      </c>
      <c r="AJ27" s="563">
        <v>0</v>
      </c>
      <c r="AK27" s="563">
        <v>0</v>
      </c>
      <c r="AL27" s="563">
        <v>0</v>
      </c>
      <c r="AM27" s="563">
        <v>0</v>
      </c>
      <c r="AN27" s="563">
        <v>0</v>
      </c>
      <c r="AO27" s="563">
        <v>0</v>
      </c>
      <c r="AP27" s="563">
        <v>0</v>
      </c>
      <c r="AQ27" s="563">
        <v>0</v>
      </c>
      <c r="AR27" s="563">
        <v>0</v>
      </c>
      <c r="AS27" s="563">
        <v>0</v>
      </c>
      <c r="AT27" s="563">
        <v>0</v>
      </c>
      <c r="AU27" s="563">
        <v>0</v>
      </c>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c r="CB27" s="555"/>
      <c r="CC27" s="555"/>
      <c r="CD27" s="555"/>
      <c r="CE27" s="555"/>
      <c r="CF27" s="555"/>
      <c r="CG27" s="555"/>
      <c r="CH27" s="555"/>
      <c r="CI27" s="555"/>
      <c r="CJ27" s="555"/>
      <c r="CK27" s="555"/>
      <c r="CL27" s="555"/>
      <c r="CM27" s="555"/>
      <c r="CN27" s="555"/>
      <c r="CO27" s="555"/>
      <c r="CP27" s="555"/>
      <c r="CQ27" s="555"/>
      <c r="CR27" s="555"/>
      <c r="CS27" s="555"/>
      <c r="CT27" s="555"/>
      <c r="CU27" s="555"/>
      <c r="CV27" s="555"/>
      <c r="CW27" s="555"/>
      <c r="CX27" s="555"/>
      <c r="CY27" s="555"/>
      <c r="CZ27" s="555"/>
      <c r="DA27" s="555"/>
    </row>
    <row r="28" spans="1:105" s="565" customFormat="1" ht="11.5" x14ac:dyDescent="0.25">
      <c r="A28" s="561"/>
      <c r="B28" s="562"/>
      <c r="C28" s="560" t="s">
        <v>489</v>
      </c>
      <c r="D28" s="563">
        <f>'Capitol Costs'!C8</f>
        <v>67000</v>
      </c>
      <c r="E28" s="563">
        <v>0</v>
      </c>
      <c r="F28" s="563">
        <v>0</v>
      </c>
      <c r="G28" s="563">
        <v>0</v>
      </c>
      <c r="H28" s="563">
        <v>0</v>
      </c>
      <c r="I28" s="563">
        <v>0</v>
      </c>
      <c r="J28" s="563">
        <v>0</v>
      </c>
      <c r="K28" s="563">
        <v>0</v>
      </c>
      <c r="L28" s="563">
        <v>0</v>
      </c>
      <c r="M28" s="563">
        <v>0</v>
      </c>
      <c r="N28" s="563">
        <v>0</v>
      </c>
      <c r="O28" s="563">
        <v>0</v>
      </c>
      <c r="P28" s="563">
        <v>0</v>
      </c>
      <c r="Q28" s="563">
        <v>0</v>
      </c>
      <c r="R28" s="563">
        <v>0</v>
      </c>
      <c r="S28" s="563">
        <v>0</v>
      </c>
      <c r="T28" s="563">
        <v>0</v>
      </c>
      <c r="U28" s="563">
        <v>0</v>
      </c>
      <c r="V28" s="563">
        <v>0</v>
      </c>
      <c r="W28" s="563">
        <v>0</v>
      </c>
      <c r="X28" s="563">
        <v>0</v>
      </c>
      <c r="Y28" s="563">
        <v>0</v>
      </c>
      <c r="Z28" s="563">
        <v>0</v>
      </c>
      <c r="AA28" s="563">
        <v>0</v>
      </c>
      <c r="AB28" s="563">
        <v>0</v>
      </c>
      <c r="AC28" s="563">
        <v>0</v>
      </c>
      <c r="AD28" s="563">
        <v>0</v>
      </c>
      <c r="AE28" s="563">
        <v>0</v>
      </c>
      <c r="AF28" s="563">
        <v>0</v>
      </c>
      <c r="AG28" s="563">
        <v>0</v>
      </c>
      <c r="AH28" s="563">
        <v>0</v>
      </c>
      <c r="AI28" s="563">
        <v>0</v>
      </c>
      <c r="AJ28" s="563">
        <v>0</v>
      </c>
      <c r="AK28" s="563">
        <v>0</v>
      </c>
      <c r="AL28" s="563">
        <v>0</v>
      </c>
      <c r="AM28" s="563">
        <v>0</v>
      </c>
      <c r="AN28" s="563">
        <v>0</v>
      </c>
      <c r="AO28" s="563">
        <v>0</v>
      </c>
      <c r="AP28" s="563">
        <v>0</v>
      </c>
      <c r="AQ28" s="563">
        <v>0</v>
      </c>
      <c r="AR28" s="563">
        <v>0</v>
      </c>
      <c r="AS28" s="563">
        <v>0</v>
      </c>
      <c r="AT28" s="563">
        <v>0</v>
      </c>
      <c r="AU28" s="563">
        <v>0</v>
      </c>
      <c r="AV28" s="555"/>
      <c r="AW28" s="555"/>
      <c r="AX28" s="555"/>
      <c r="AY28" s="555"/>
      <c r="AZ28" s="555"/>
      <c r="BA28" s="555"/>
      <c r="BB28" s="555"/>
      <c r="BC28" s="555"/>
      <c r="BD28" s="555"/>
      <c r="BE28" s="555"/>
      <c r="BF28" s="555"/>
      <c r="BG28" s="555"/>
      <c r="BH28" s="555"/>
      <c r="BI28" s="555"/>
      <c r="BJ28" s="555"/>
      <c r="BK28" s="555"/>
      <c r="BL28" s="555"/>
      <c r="BM28" s="555"/>
      <c r="BN28" s="555"/>
      <c r="BO28" s="555"/>
      <c r="BP28" s="555"/>
      <c r="BQ28" s="555"/>
      <c r="BR28" s="555"/>
      <c r="BS28" s="555"/>
      <c r="BT28" s="555"/>
      <c r="BU28" s="555"/>
      <c r="BV28" s="555"/>
      <c r="BW28" s="555"/>
      <c r="BX28" s="555"/>
      <c r="BY28" s="555"/>
      <c r="BZ28" s="555"/>
      <c r="CA28" s="555"/>
      <c r="CB28" s="555"/>
      <c r="CC28" s="555"/>
      <c r="CD28" s="555"/>
      <c r="CE28" s="555"/>
      <c r="CF28" s="555"/>
      <c r="CG28" s="555"/>
      <c r="CH28" s="555"/>
      <c r="CI28" s="555"/>
      <c r="CJ28" s="555"/>
      <c r="CK28" s="555"/>
      <c r="CL28" s="555"/>
      <c r="CM28" s="555"/>
      <c r="CN28" s="555"/>
      <c r="CO28" s="555"/>
      <c r="CP28" s="555"/>
      <c r="CQ28" s="555"/>
      <c r="CR28" s="555"/>
      <c r="CS28" s="555"/>
      <c r="CT28" s="555"/>
      <c r="CU28" s="555"/>
      <c r="CV28" s="555"/>
      <c r="CW28" s="555"/>
      <c r="CX28" s="555"/>
      <c r="CY28" s="555"/>
      <c r="CZ28" s="555"/>
      <c r="DA28" s="555"/>
    </row>
    <row r="29" spans="1:105" s="565" customFormat="1" ht="11.5" x14ac:dyDescent="0.25">
      <c r="A29" s="561"/>
      <c r="B29" s="562"/>
      <c r="C29" s="560" t="s">
        <v>491</v>
      </c>
      <c r="D29" s="563">
        <f>'Capitol Costs'!C11</f>
        <v>90000</v>
      </c>
      <c r="E29" s="563">
        <v>0</v>
      </c>
      <c r="F29" s="563">
        <v>0</v>
      </c>
      <c r="G29" s="563">
        <v>0</v>
      </c>
      <c r="H29" s="563">
        <v>0</v>
      </c>
      <c r="I29" s="563">
        <v>0</v>
      </c>
      <c r="J29" s="563">
        <v>0</v>
      </c>
      <c r="K29" s="563">
        <v>0</v>
      </c>
      <c r="L29" s="563">
        <v>0</v>
      </c>
      <c r="M29" s="563">
        <v>0</v>
      </c>
      <c r="N29" s="563">
        <v>0</v>
      </c>
      <c r="O29" s="563">
        <v>0</v>
      </c>
      <c r="P29" s="563">
        <v>0</v>
      </c>
      <c r="Q29" s="563">
        <v>0</v>
      </c>
      <c r="R29" s="563">
        <v>0</v>
      </c>
      <c r="S29" s="563">
        <v>0</v>
      </c>
      <c r="T29" s="563">
        <v>0</v>
      </c>
      <c r="U29" s="563">
        <v>0</v>
      </c>
      <c r="V29" s="563">
        <v>0</v>
      </c>
      <c r="W29" s="563">
        <v>0</v>
      </c>
      <c r="X29" s="563">
        <v>0</v>
      </c>
      <c r="Y29" s="563">
        <v>0</v>
      </c>
      <c r="Z29" s="563">
        <v>0</v>
      </c>
      <c r="AA29" s="563">
        <v>0</v>
      </c>
      <c r="AB29" s="563">
        <v>0</v>
      </c>
      <c r="AC29" s="563">
        <v>0</v>
      </c>
      <c r="AD29" s="563">
        <v>0</v>
      </c>
      <c r="AE29" s="563">
        <v>0</v>
      </c>
      <c r="AF29" s="563">
        <v>0</v>
      </c>
      <c r="AG29" s="563">
        <v>0</v>
      </c>
      <c r="AH29" s="563">
        <v>0</v>
      </c>
      <c r="AI29" s="563">
        <v>0</v>
      </c>
      <c r="AJ29" s="563">
        <v>0</v>
      </c>
      <c r="AK29" s="563">
        <v>0</v>
      </c>
      <c r="AL29" s="563">
        <v>0</v>
      </c>
      <c r="AM29" s="563">
        <v>0</v>
      </c>
      <c r="AN29" s="563">
        <v>0</v>
      </c>
      <c r="AO29" s="563">
        <v>0</v>
      </c>
      <c r="AP29" s="563">
        <v>0</v>
      </c>
      <c r="AQ29" s="563">
        <v>0</v>
      </c>
      <c r="AR29" s="563">
        <v>0</v>
      </c>
      <c r="AS29" s="563">
        <v>0</v>
      </c>
      <c r="AT29" s="563">
        <v>0</v>
      </c>
      <c r="AU29" s="563">
        <v>0</v>
      </c>
      <c r="AV29" s="555"/>
      <c r="AW29" s="555"/>
      <c r="AX29" s="555"/>
      <c r="AY29" s="555"/>
      <c r="AZ29" s="555"/>
      <c r="BA29" s="555"/>
      <c r="BB29" s="555"/>
      <c r="BC29" s="555"/>
      <c r="BD29" s="555"/>
      <c r="BE29" s="555"/>
      <c r="BF29" s="555"/>
      <c r="BG29" s="555"/>
      <c r="BH29" s="555"/>
      <c r="BI29" s="555"/>
      <c r="BJ29" s="555"/>
      <c r="BK29" s="555"/>
      <c r="BL29" s="555"/>
      <c r="BM29" s="555"/>
      <c r="BN29" s="555"/>
      <c r="BO29" s="555"/>
      <c r="BP29" s="555"/>
      <c r="BQ29" s="555"/>
      <c r="BR29" s="555"/>
      <c r="BS29" s="555"/>
      <c r="BT29" s="555"/>
      <c r="BU29" s="555"/>
      <c r="BV29" s="555"/>
      <c r="BW29" s="555"/>
      <c r="BX29" s="555"/>
      <c r="BY29" s="555"/>
      <c r="BZ29" s="555"/>
      <c r="CA29" s="555"/>
      <c r="CB29" s="555"/>
      <c r="CC29" s="555"/>
      <c r="CD29" s="555"/>
      <c r="CE29" s="555"/>
      <c r="CF29" s="555"/>
      <c r="CG29" s="555"/>
      <c r="CH29" s="555"/>
      <c r="CI29" s="555"/>
      <c r="CJ29" s="555"/>
      <c r="CK29" s="555"/>
      <c r="CL29" s="555"/>
      <c r="CM29" s="555"/>
      <c r="CN29" s="555"/>
      <c r="CO29" s="555"/>
      <c r="CP29" s="555"/>
      <c r="CQ29" s="555"/>
      <c r="CR29" s="555"/>
      <c r="CS29" s="555"/>
      <c r="CT29" s="555"/>
      <c r="CU29" s="555"/>
      <c r="CV29" s="555"/>
      <c r="CW29" s="555"/>
      <c r="CX29" s="555"/>
      <c r="CY29" s="555"/>
      <c r="CZ29" s="555"/>
      <c r="DA29" s="555"/>
    </row>
    <row r="30" spans="1:105" s="565" customFormat="1" ht="11.5" x14ac:dyDescent="0.25">
      <c r="A30" s="561"/>
      <c r="B30" s="562"/>
      <c r="C30" s="560" t="s">
        <v>492</v>
      </c>
      <c r="D30" s="563">
        <v>0</v>
      </c>
      <c r="E30" s="563">
        <f>'Capitol Costs'!C12</f>
        <v>98000</v>
      </c>
      <c r="F30" s="563">
        <v>0</v>
      </c>
      <c r="G30" s="563">
        <v>0</v>
      </c>
      <c r="H30" s="563">
        <v>0</v>
      </c>
      <c r="I30" s="563">
        <v>0</v>
      </c>
      <c r="J30" s="563">
        <v>0</v>
      </c>
      <c r="K30" s="563">
        <v>0</v>
      </c>
      <c r="L30" s="563">
        <v>0</v>
      </c>
      <c r="M30" s="563">
        <v>0</v>
      </c>
      <c r="N30" s="563">
        <v>0</v>
      </c>
      <c r="O30" s="563">
        <v>0</v>
      </c>
      <c r="P30" s="563">
        <v>0</v>
      </c>
      <c r="Q30" s="563">
        <v>0</v>
      </c>
      <c r="R30" s="563">
        <v>0</v>
      </c>
      <c r="S30" s="563">
        <v>0</v>
      </c>
      <c r="T30" s="563">
        <v>0</v>
      </c>
      <c r="U30" s="563">
        <v>0</v>
      </c>
      <c r="V30" s="563">
        <v>0</v>
      </c>
      <c r="W30" s="563">
        <v>0</v>
      </c>
      <c r="X30" s="563">
        <v>0</v>
      </c>
      <c r="Y30" s="563">
        <v>0</v>
      </c>
      <c r="Z30" s="563">
        <v>0</v>
      </c>
      <c r="AA30" s="563">
        <v>0</v>
      </c>
      <c r="AB30" s="563">
        <v>0</v>
      </c>
      <c r="AC30" s="563">
        <v>0</v>
      </c>
      <c r="AD30" s="563">
        <v>0</v>
      </c>
      <c r="AE30" s="563">
        <v>0</v>
      </c>
      <c r="AF30" s="563">
        <v>0</v>
      </c>
      <c r="AG30" s="563">
        <v>0</v>
      </c>
      <c r="AH30" s="563">
        <v>0</v>
      </c>
      <c r="AI30" s="563">
        <v>0</v>
      </c>
      <c r="AJ30" s="563">
        <v>0</v>
      </c>
      <c r="AK30" s="563">
        <v>0</v>
      </c>
      <c r="AL30" s="563">
        <v>0</v>
      </c>
      <c r="AM30" s="563">
        <v>0</v>
      </c>
      <c r="AN30" s="563">
        <v>0</v>
      </c>
      <c r="AO30" s="563">
        <v>0</v>
      </c>
      <c r="AP30" s="563">
        <v>0</v>
      </c>
      <c r="AQ30" s="563">
        <v>0</v>
      </c>
      <c r="AR30" s="563">
        <v>0</v>
      </c>
      <c r="AS30" s="563">
        <v>0</v>
      </c>
      <c r="AT30" s="563">
        <v>0</v>
      </c>
      <c r="AU30" s="563">
        <v>0</v>
      </c>
      <c r="AV30" s="555"/>
      <c r="AW30" s="555"/>
      <c r="AX30" s="555"/>
      <c r="AY30" s="555"/>
      <c r="AZ30" s="555"/>
      <c r="BA30" s="555"/>
      <c r="BB30" s="555"/>
      <c r="BC30" s="555"/>
      <c r="BD30" s="555"/>
      <c r="BE30" s="555"/>
      <c r="BF30" s="555"/>
      <c r="BG30" s="555"/>
      <c r="BH30" s="555"/>
      <c r="BI30" s="555"/>
      <c r="BJ30" s="555"/>
      <c r="BK30" s="555"/>
      <c r="BL30" s="555"/>
      <c r="BM30" s="555"/>
      <c r="BN30" s="555"/>
      <c r="BO30" s="555"/>
      <c r="BP30" s="555"/>
      <c r="BQ30" s="555"/>
      <c r="BR30" s="555"/>
      <c r="BS30" s="555"/>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5"/>
      <c r="CS30" s="555"/>
      <c r="CT30" s="555"/>
      <c r="CU30" s="555"/>
      <c r="CV30" s="555"/>
      <c r="CW30" s="555"/>
      <c r="CX30" s="555"/>
      <c r="CY30" s="555"/>
      <c r="CZ30" s="555"/>
      <c r="DA30" s="555"/>
    </row>
    <row r="31" spans="1:105" s="565" customFormat="1" ht="11.5" x14ac:dyDescent="0.25">
      <c r="A31" s="561"/>
      <c r="B31" s="562"/>
      <c r="C31" s="560" t="s">
        <v>493</v>
      </c>
      <c r="D31" s="563">
        <v>0</v>
      </c>
      <c r="E31" s="563">
        <f>'Capitol Costs'!C13</f>
        <v>34000</v>
      </c>
      <c r="F31" s="563">
        <v>0</v>
      </c>
      <c r="G31" s="563">
        <v>0</v>
      </c>
      <c r="H31" s="563">
        <v>0</v>
      </c>
      <c r="I31" s="563">
        <v>0</v>
      </c>
      <c r="J31" s="563">
        <v>0</v>
      </c>
      <c r="K31" s="563">
        <v>0</v>
      </c>
      <c r="L31" s="563">
        <v>0</v>
      </c>
      <c r="M31" s="563">
        <v>0</v>
      </c>
      <c r="N31" s="563">
        <v>0</v>
      </c>
      <c r="O31" s="563">
        <v>0</v>
      </c>
      <c r="P31" s="563">
        <v>0</v>
      </c>
      <c r="Q31" s="563">
        <v>0</v>
      </c>
      <c r="R31" s="563">
        <v>0</v>
      </c>
      <c r="S31" s="563">
        <v>0</v>
      </c>
      <c r="T31" s="563">
        <v>0</v>
      </c>
      <c r="U31" s="563">
        <v>0</v>
      </c>
      <c r="V31" s="563">
        <v>0</v>
      </c>
      <c r="W31" s="563">
        <v>0</v>
      </c>
      <c r="X31" s="563">
        <v>0</v>
      </c>
      <c r="Y31" s="563">
        <v>0</v>
      </c>
      <c r="Z31" s="563">
        <v>0</v>
      </c>
      <c r="AA31" s="563">
        <v>0</v>
      </c>
      <c r="AB31" s="563">
        <v>0</v>
      </c>
      <c r="AC31" s="563">
        <v>0</v>
      </c>
      <c r="AD31" s="563">
        <v>0</v>
      </c>
      <c r="AE31" s="563">
        <v>0</v>
      </c>
      <c r="AF31" s="563">
        <v>0</v>
      </c>
      <c r="AG31" s="563">
        <v>0</v>
      </c>
      <c r="AH31" s="563">
        <v>0</v>
      </c>
      <c r="AI31" s="563">
        <v>0</v>
      </c>
      <c r="AJ31" s="563">
        <v>0</v>
      </c>
      <c r="AK31" s="563">
        <v>0</v>
      </c>
      <c r="AL31" s="563">
        <v>0</v>
      </c>
      <c r="AM31" s="563">
        <v>0</v>
      </c>
      <c r="AN31" s="563">
        <v>0</v>
      </c>
      <c r="AO31" s="563">
        <v>0</v>
      </c>
      <c r="AP31" s="563">
        <v>0</v>
      </c>
      <c r="AQ31" s="563">
        <v>0</v>
      </c>
      <c r="AR31" s="563">
        <v>0</v>
      </c>
      <c r="AS31" s="563">
        <v>0</v>
      </c>
      <c r="AT31" s="563">
        <v>0</v>
      </c>
      <c r="AU31" s="563">
        <v>0</v>
      </c>
      <c r="AV31" s="555"/>
      <c r="AW31" s="555"/>
      <c r="AX31" s="555"/>
      <c r="AY31" s="555"/>
      <c r="AZ31" s="555"/>
      <c r="BA31" s="555"/>
      <c r="BB31" s="555"/>
      <c r="BC31" s="555"/>
      <c r="BD31" s="555"/>
      <c r="BE31" s="555"/>
      <c r="BF31" s="555"/>
      <c r="BG31" s="555"/>
      <c r="BH31" s="555"/>
      <c r="BI31" s="555"/>
      <c r="BJ31" s="555"/>
      <c r="BK31" s="555"/>
      <c r="BL31" s="555"/>
      <c r="BM31" s="555"/>
      <c r="BN31" s="555"/>
      <c r="BO31" s="555"/>
      <c r="BP31" s="555"/>
      <c r="BQ31" s="555"/>
      <c r="BR31" s="555"/>
      <c r="BS31" s="555"/>
      <c r="BT31" s="555"/>
      <c r="BU31" s="555"/>
      <c r="BV31" s="555"/>
      <c r="BW31" s="555"/>
      <c r="BX31" s="555"/>
      <c r="BY31" s="555"/>
      <c r="BZ31" s="555"/>
      <c r="CA31" s="555"/>
      <c r="CB31" s="555"/>
      <c r="CC31" s="555"/>
      <c r="CD31" s="555"/>
      <c r="CE31" s="555"/>
      <c r="CF31" s="555"/>
      <c r="CG31" s="555"/>
      <c r="CH31" s="555"/>
      <c r="CI31" s="555"/>
      <c r="CJ31" s="555"/>
      <c r="CK31" s="555"/>
      <c r="CL31" s="555"/>
      <c r="CM31" s="555"/>
      <c r="CN31" s="555"/>
      <c r="CO31" s="555"/>
      <c r="CP31" s="555"/>
      <c r="CQ31" s="555"/>
      <c r="CR31" s="555"/>
      <c r="CS31" s="555"/>
      <c r="CT31" s="555"/>
      <c r="CU31" s="555"/>
      <c r="CV31" s="555"/>
      <c r="CW31" s="555"/>
      <c r="CX31" s="555"/>
      <c r="CY31" s="555"/>
      <c r="CZ31" s="555"/>
      <c r="DA31" s="555"/>
    </row>
    <row r="32" spans="1:105" s="565" customFormat="1" ht="11.5" x14ac:dyDescent="0.25">
      <c r="A32" s="561"/>
      <c r="B32" s="562"/>
      <c r="C32" s="560" t="s">
        <v>494</v>
      </c>
      <c r="D32" s="563">
        <v>0</v>
      </c>
      <c r="E32" s="563">
        <f>'Capitol Costs'!C14</f>
        <v>6873000</v>
      </c>
      <c r="F32" s="563">
        <v>0</v>
      </c>
      <c r="G32" s="563">
        <v>0</v>
      </c>
      <c r="H32" s="563">
        <v>0</v>
      </c>
      <c r="I32" s="563">
        <v>0</v>
      </c>
      <c r="J32" s="563">
        <v>0</v>
      </c>
      <c r="K32" s="563">
        <v>0</v>
      </c>
      <c r="L32" s="563">
        <v>0</v>
      </c>
      <c r="M32" s="563">
        <v>0</v>
      </c>
      <c r="N32" s="563">
        <v>0</v>
      </c>
      <c r="O32" s="563">
        <v>0</v>
      </c>
      <c r="P32" s="563">
        <v>0</v>
      </c>
      <c r="Q32" s="563">
        <v>0</v>
      </c>
      <c r="R32" s="563">
        <v>0</v>
      </c>
      <c r="S32" s="563">
        <v>0</v>
      </c>
      <c r="T32" s="563">
        <v>0</v>
      </c>
      <c r="U32" s="563">
        <v>0</v>
      </c>
      <c r="V32" s="563">
        <v>0</v>
      </c>
      <c r="W32" s="563">
        <v>0</v>
      </c>
      <c r="X32" s="563">
        <v>0</v>
      </c>
      <c r="Y32" s="563">
        <v>0</v>
      </c>
      <c r="Z32" s="563">
        <v>0</v>
      </c>
      <c r="AA32" s="563">
        <v>0</v>
      </c>
      <c r="AB32" s="563">
        <v>0</v>
      </c>
      <c r="AC32" s="563">
        <v>0</v>
      </c>
      <c r="AD32" s="563">
        <v>0</v>
      </c>
      <c r="AE32" s="563">
        <v>0</v>
      </c>
      <c r="AF32" s="563">
        <v>0</v>
      </c>
      <c r="AG32" s="563">
        <v>0</v>
      </c>
      <c r="AH32" s="563">
        <v>0</v>
      </c>
      <c r="AI32" s="563">
        <v>0</v>
      </c>
      <c r="AJ32" s="563">
        <v>0</v>
      </c>
      <c r="AK32" s="563">
        <v>0</v>
      </c>
      <c r="AL32" s="563">
        <v>0</v>
      </c>
      <c r="AM32" s="563">
        <v>0</v>
      </c>
      <c r="AN32" s="563">
        <v>0</v>
      </c>
      <c r="AO32" s="563">
        <v>0</v>
      </c>
      <c r="AP32" s="563">
        <v>0</v>
      </c>
      <c r="AQ32" s="563">
        <v>0</v>
      </c>
      <c r="AR32" s="563">
        <v>0</v>
      </c>
      <c r="AS32" s="563">
        <v>0</v>
      </c>
      <c r="AT32" s="563">
        <v>0</v>
      </c>
      <c r="AU32" s="563">
        <v>0</v>
      </c>
      <c r="AV32" s="555"/>
      <c r="AW32" s="555"/>
      <c r="AX32" s="555"/>
      <c r="AY32" s="555"/>
      <c r="AZ32" s="555"/>
      <c r="BA32" s="555"/>
      <c r="BB32" s="555"/>
      <c r="BC32" s="555"/>
      <c r="BD32" s="555"/>
      <c r="BE32" s="555"/>
      <c r="BF32" s="555"/>
      <c r="BG32" s="555"/>
      <c r="BH32" s="555"/>
      <c r="BI32" s="555"/>
      <c r="BJ32" s="555"/>
      <c r="BK32" s="555"/>
      <c r="BL32" s="555"/>
      <c r="BM32" s="555"/>
      <c r="BN32" s="555"/>
      <c r="BO32" s="555"/>
      <c r="BP32" s="555"/>
      <c r="BQ32" s="555"/>
      <c r="BR32" s="555"/>
      <c r="BS32" s="555"/>
      <c r="BT32" s="555"/>
      <c r="BU32" s="555"/>
      <c r="BV32" s="555"/>
      <c r="BW32" s="555"/>
      <c r="BX32" s="555"/>
      <c r="BY32" s="555"/>
      <c r="BZ32" s="555"/>
      <c r="CA32" s="555"/>
      <c r="CB32" s="555"/>
      <c r="CC32" s="555"/>
      <c r="CD32" s="555"/>
      <c r="CE32" s="555"/>
      <c r="CF32" s="555"/>
      <c r="CG32" s="555"/>
      <c r="CH32" s="555"/>
      <c r="CI32" s="555"/>
      <c r="CJ32" s="555"/>
      <c r="CK32" s="555"/>
      <c r="CL32" s="555"/>
      <c r="CM32" s="555"/>
      <c r="CN32" s="555"/>
      <c r="CO32" s="555"/>
      <c r="CP32" s="555"/>
      <c r="CQ32" s="555"/>
      <c r="CR32" s="555"/>
      <c r="CS32" s="555"/>
      <c r="CT32" s="555"/>
      <c r="CU32" s="555"/>
      <c r="CV32" s="555"/>
      <c r="CW32" s="555"/>
      <c r="CX32" s="555"/>
      <c r="CY32" s="555"/>
      <c r="CZ32" s="555"/>
      <c r="DA32" s="555"/>
    </row>
    <row r="33" spans="1:105" s="565" customFormat="1" ht="11.5" x14ac:dyDescent="0.25">
      <c r="A33" s="561"/>
      <c r="B33" s="562"/>
      <c r="C33" s="560" t="s">
        <v>495</v>
      </c>
      <c r="D33" s="563">
        <v>0</v>
      </c>
      <c r="E33" s="563">
        <f>'Capitol Costs'!C15</f>
        <v>1446000</v>
      </c>
      <c r="F33" s="563">
        <v>0</v>
      </c>
      <c r="G33" s="563">
        <v>0</v>
      </c>
      <c r="H33" s="563">
        <v>0</v>
      </c>
      <c r="I33" s="563">
        <v>0</v>
      </c>
      <c r="J33" s="563">
        <v>0</v>
      </c>
      <c r="K33" s="563">
        <v>0</v>
      </c>
      <c r="L33" s="563">
        <v>0</v>
      </c>
      <c r="M33" s="563">
        <v>0</v>
      </c>
      <c r="N33" s="563">
        <v>0</v>
      </c>
      <c r="O33" s="563">
        <v>0</v>
      </c>
      <c r="P33" s="563">
        <v>0</v>
      </c>
      <c r="Q33" s="563">
        <v>0</v>
      </c>
      <c r="R33" s="563">
        <v>0</v>
      </c>
      <c r="S33" s="563">
        <v>0</v>
      </c>
      <c r="T33" s="563">
        <v>0</v>
      </c>
      <c r="U33" s="563">
        <v>0</v>
      </c>
      <c r="V33" s="563">
        <v>0</v>
      </c>
      <c r="W33" s="563">
        <v>0</v>
      </c>
      <c r="X33" s="563">
        <v>0</v>
      </c>
      <c r="Y33" s="563">
        <v>0</v>
      </c>
      <c r="Z33" s="563">
        <v>0</v>
      </c>
      <c r="AA33" s="563">
        <v>0</v>
      </c>
      <c r="AB33" s="563">
        <v>0</v>
      </c>
      <c r="AC33" s="563">
        <v>0</v>
      </c>
      <c r="AD33" s="563">
        <v>0</v>
      </c>
      <c r="AE33" s="563">
        <v>0</v>
      </c>
      <c r="AF33" s="563">
        <v>0</v>
      </c>
      <c r="AG33" s="563">
        <v>0</v>
      </c>
      <c r="AH33" s="563">
        <v>0</v>
      </c>
      <c r="AI33" s="563">
        <v>0</v>
      </c>
      <c r="AJ33" s="563">
        <v>0</v>
      </c>
      <c r="AK33" s="563">
        <v>0</v>
      </c>
      <c r="AL33" s="563">
        <v>0</v>
      </c>
      <c r="AM33" s="563">
        <v>0</v>
      </c>
      <c r="AN33" s="563">
        <v>0</v>
      </c>
      <c r="AO33" s="563">
        <v>0</v>
      </c>
      <c r="AP33" s="563">
        <v>0</v>
      </c>
      <c r="AQ33" s="563">
        <v>0</v>
      </c>
      <c r="AR33" s="563">
        <v>0</v>
      </c>
      <c r="AS33" s="563">
        <v>0</v>
      </c>
      <c r="AT33" s="563">
        <v>0</v>
      </c>
      <c r="AU33" s="563">
        <v>0</v>
      </c>
      <c r="AV33" s="555"/>
      <c r="AW33" s="555"/>
      <c r="AX33" s="555"/>
      <c r="AY33" s="555"/>
      <c r="AZ33" s="555"/>
      <c r="BA33" s="555"/>
      <c r="BB33" s="555"/>
      <c r="BC33" s="555"/>
      <c r="BD33" s="555"/>
      <c r="BE33" s="555"/>
      <c r="BF33" s="555"/>
      <c r="BG33" s="555"/>
      <c r="BH33" s="555"/>
      <c r="BI33" s="555"/>
      <c r="BJ33" s="555"/>
      <c r="BK33" s="555"/>
      <c r="BL33" s="555"/>
      <c r="BM33" s="555"/>
      <c r="BN33" s="555"/>
      <c r="BO33" s="555"/>
      <c r="BP33" s="555"/>
      <c r="BQ33" s="555"/>
      <c r="BR33" s="555"/>
      <c r="BS33" s="555"/>
      <c r="BT33" s="555"/>
      <c r="BU33" s="555"/>
      <c r="BV33" s="555"/>
      <c r="BW33" s="555"/>
      <c r="BX33" s="555"/>
      <c r="BY33" s="555"/>
      <c r="BZ33" s="555"/>
      <c r="CA33" s="555"/>
      <c r="CB33" s="555"/>
      <c r="CC33" s="555"/>
      <c r="CD33" s="555"/>
      <c r="CE33" s="555"/>
      <c r="CF33" s="555"/>
      <c r="CG33" s="555"/>
      <c r="CH33" s="555"/>
      <c r="CI33" s="555"/>
      <c r="CJ33" s="555"/>
      <c r="CK33" s="555"/>
      <c r="CL33" s="555"/>
      <c r="CM33" s="555"/>
      <c r="CN33" s="555"/>
      <c r="CO33" s="555"/>
      <c r="CP33" s="555"/>
      <c r="CQ33" s="555"/>
      <c r="CR33" s="555"/>
      <c r="CS33" s="555"/>
      <c r="CT33" s="555"/>
      <c r="CU33" s="555"/>
      <c r="CV33" s="555"/>
      <c r="CW33" s="555"/>
      <c r="CX33" s="555"/>
      <c r="CY33" s="555"/>
      <c r="CZ33" s="555"/>
      <c r="DA33" s="555"/>
    </row>
    <row r="34" spans="1:105" s="565" customFormat="1" ht="11.5" x14ac:dyDescent="0.25">
      <c r="A34" s="561"/>
      <c r="B34" s="562"/>
      <c r="C34" s="560" t="s">
        <v>496</v>
      </c>
      <c r="D34" s="563">
        <v>0</v>
      </c>
      <c r="E34" s="563">
        <f>'Capitol Costs'!C16</f>
        <v>238000</v>
      </c>
      <c r="F34" s="563">
        <v>0</v>
      </c>
      <c r="G34" s="563">
        <v>0</v>
      </c>
      <c r="H34" s="563">
        <v>0</v>
      </c>
      <c r="I34" s="563">
        <v>0</v>
      </c>
      <c r="J34" s="563">
        <v>0</v>
      </c>
      <c r="K34" s="563">
        <v>0</v>
      </c>
      <c r="L34" s="563">
        <v>0</v>
      </c>
      <c r="M34" s="563">
        <v>0</v>
      </c>
      <c r="N34" s="563">
        <v>0</v>
      </c>
      <c r="O34" s="563">
        <v>0</v>
      </c>
      <c r="P34" s="563">
        <v>0</v>
      </c>
      <c r="Q34" s="563">
        <v>0</v>
      </c>
      <c r="R34" s="563">
        <v>0</v>
      </c>
      <c r="S34" s="563">
        <v>0</v>
      </c>
      <c r="T34" s="563">
        <v>0</v>
      </c>
      <c r="U34" s="563">
        <v>0</v>
      </c>
      <c r="V34" s="563">
        <v>0</v>
      </c>
      <c r="W34" s="563">
        <v>0</v>
      </c>
      <c r="X34" s="563">
        <v>0</v>
      </c>
      <c r="Y34" s="563">
        <v>0</v>
      </c>
      <c r="Z34" s="563">
        <v>0</v>
      </c>
      <c r="AA34" s="563">
        <v>0</v>
      </c>
      <c r="AB34" s="563">
        <v>0</v>
      </c>
      <c r="AC34" s="563">
        <v>0</v>
      </c>
      <c r="AD34" s="563">
        <v>0</v>
      </c>
      <c r="AE34" s="563">
        <v>0</v>
      </c>
      <c r="AF34" s="563">
        <v>0</v>
      </c>
      <c r="AG34" s="563">
        <v>0</v>
      </c>
      <c r="AH34" s="563">
        <v>0</v>
      </c>
      <c r="AI34" s="563">
        <v>0</v>
      </c>
      <c r="AJ34" s="563">
        <v>0</v>
      </c>
      <c r="AK34" s="563">
        <v>0</v>
      </c>
      <c r="AL34" s="563">
        <v>0</v>
      </c>
      <c r="AM34" s="563">
        <v>0</v>
      </c>
      <c r="AN34" s="563">
        <v>0</v>
      </c>
      <c r="AO34" s="563">
        <v>0</v>
      </c>
      <c r="AP34" s="563">
        <v>0</v>
      </c>
      <c r="AQ34" s="563">
        <v>0</v>
      </c>
      <c r="AR34" s="563">
        <v>0</v>
      </c>
      <c r="AS34" s="563">
        <v>0</v>
      </c>
      <c r="AT34" s="563">
        <v>0</v>
      </c>
      <c r="AU34" s="563">
        <v>0</v>
      </c>
      <c r="AV34" s="555"/>
      <c r="AW34" s="555"/>
      <c r="AX34" s="555"/>
      <c r="AY34" s="555"/>
      <c r="AZ34" s="555"/>
      <c r="BA34" s="555"/>
      <c r="BB34" s="555"/>
      <c r="BC34" s="555"/>
      <c r="BD34" s="555"/>
      <c r="BE34" s="555"/>
      <c r="BF34" s="555"/>
      <c r="BG34" s="555"/>
      <c r="BH34" s="555"/>
      <c r="BI34" s="555"/>
      <c r="BJ34" s="555"/>
      <c r="BK34" s="555"/>
      <c r="BL34" s="555"/>
      <c r="BM34" s="555"/>
      <c r="BN34" s="555"/>
      <c r="BO34" s="555"/>
      <c r="BP34" s="555"/>
      <c r="BQ34" s="555"/>
      <c r="BR34" s="555"/>
      <c r="BS34" s="555"/>
      <c r="BT34" s="555"/>
      <c r="BU34" s="555"/>
      <c r="BV34" s="555"/>
      <c r="BW34" s="555"/>
      <c r="BX34" s="555"/>
      <c r="BY34" s="555"/>
      <c r="BZ34" s="555"/>
      <c r="CA34" s="555"/>
      <c r="CB34" s="555"/>
      <c r="CC34" s="555"/>
      <c r="CD34" s="555"/>
      <c r="CE34" s="555"/>
      <c r="CF34" s="555"/>
      <c r="CG34" s="555"/>
      <c r="CH34" s="555"/>
      <c r="CI34" s="555"/>
      <c r="CJ34" s="555"/>
      <c r="CK34" s="555"/>
      <c r="CL34" s="555"/>
      <c r="CM34" s="555"/>
      <c r="CN34" s="555"/>
      <c r="CO34" s="555"/>
      <c r="CP34" s="555"/>
      <c r="CQ34" s="555"/>
      <c r="CR34" s="555"/>
      <c r="CS34" s="555"/>
      <c r="CT34" s="555"/>
      <c r="CU34" s="555"/>
      <c r="CV34" s="555"/>
      <c r="CW34" s="555"/>
      <c r="CX34" s="555"/>
      <c r="CY34" s="555"/>
      <c r="CZ34" s="555"/>
      <c r="DA34" s="555"/>
    </row>
    <row r="35" spans="1:105" s="565" customFormat="1" ht="11.5" x14ac:dyDescent="0.25">
      <c r="A35" s="561"/>
      <c r="B35" s="562"/>
      <c r="C35" s="560" t="s">
        <v>503</v>
      </c>
      <c r="D35" s="563">
        <f>SUM('Short-Lived Assets Schedule '!E4:E18)</f>
        <v>3370429</v>
      </c>
      <c r="E35" s="563">
        <v>0</v>
      </c>
      <c r="F35" s="563">
        <v>0</v>
      </c>
      <c r="G35" s="563">
        <v>0</v>
      </c>
      <c r="H35" s="563">
        <v>0</v>
      </c>
      <c r="I35" s="563">
        <v>0</v>
      </c>
      <c r="J35" s="563">
        <v>0</v>
      </c>
      <c r="K35" s="563">
        <v>0</v>
      </c>
      <c r="L35" s="563">
        <v>0</v>
      </c>
      <c r="M35" s="563">
        <v>0</v>
      </c>
      <c r="N35" s="563">
        <v>0</v>
      </c>
      <c r="O35" s="563">
        <v>0</v>
      </c>
      <c r="P35" s="563">
        <v>0</v>
      </c>
      <c r="Q35" s="563">
        <v>0</v>
      </c>
      <c r="R35" s="563">
        <v>0</v>
      </c>
      <c r="S35" s="563">
        <v>0</v>
      </c>
      <c r="T35" s="563">
        <v>0</v>
      </c>
      <c r="U35" s="563">
        <v>0</v>
      </c>
      <c r="V35" s="563">
        <v>0</v>
      </c>
      <c r="W35" s="563">
        <v>0</v>
      </c>
      <c r="X35" s="563">
        <v>0</v>
      </c>
      <c r="Y35" s="563">
        <v>0</v>
      </c>
      <c r="Z35" s="563">
        <v>0</v>
      </c>
      <c r="AA35" s="563">
        <v>0</v>
      </c>
      <c r="AB35" s="563">
        <v>0</v>
      </c>
      <c r="AC35" s="563">
        <v>0</v>
      </c>
      <c r="AD35" s="563">
        <v>0</v>
      </c>
      <c r="AE35" s="563">
        <v>0</v>
      </c>
      <c r="AF35" s="563">
        <v>0</v>
      </c>
      <c r="AG35" s="563">
        <v>0</v>
      </c>
      <c r="AH35" s="563">
        <v>0</v>
      </c>
      <c r="AI35" s="563">
        <v>0</v>
      </c>
      <c r="AJ35" s="563">
        <v>0</v>
      </c>
      <c r="AK35" s="563">
        <v>0</v>
      </c>
      <c r="AL35" s="563">
        <v>0</v>
      </c>
      <c r="AM35" s="563">
        <v>0</v>
      </c>
      <c r="AN35" s="563">
        <v>0</v>
      </c>
      <c r="AO35" s="563">
        <v>0</v>
      </c>
      <c r="AP35" s="563">
        <v>0</v>
      </c>
      <c r="AQ35" s="563">
        <v>0</v>
      </c>
      <c r="AR35" s="563">
        <v>0</v>
      </c>
      <c r="AS35" s="563">
        <v>0</v>
      </c>
      <c r="AT35" s="563">
        <v>0</v>
      </c>
      <c r="AU35" s="563">
        <v>0</v>
      </c>
      <c r="AV35" s="555"/>
      <c r="AW35" s="555"/>
      <c r="AX35" s="555"/>
      <c r="AY35" s="555"/>
      <c r="AZ35" s="555"/>
      <c r="BA35" s="555"/>
      <c r="BB35" s="555"/>
      <c r="BC35" s="555"/>
      <c r="BD35" s="555"/>
      <c r="BE35" s="555"/>
      <c r="BF35" s="555"/>
      <c r="BG35" s="555"/>
      <c r="BH35" s="555"/>
      <c r="BI35" s="555"/>
      <c r="BJ35" s="555"/>
      <c r="BK35" s="555"/>
      <c r="BL35" s="555"/>
      <c r="BM35" s="555"/>
      <c r="BN35" s="555"/>
      <c r="BO35" s="555"/>
      <c r="BP35" s="555"/>
      <c r="BQ35" s="555"/>
      <c r="BR35" s="555"/>
      <c r="BS35" s="555"/>
      <c r="BT35" s="555"/>
      <c r="BU35" s="555"/>
      <c r="BV35" s="555"/>
      <c r="BW35" s="555"/>
      <c r="BX35" s="555"/>
      <c r="BY35" s="555"/>
      <c r="BZ35" s="555"/>
      <c r="CA35" s="555"/>
      <c r="CB35" s="555"/>
      <c r="CC35" s="555"/>
      <c r="CD35" s="555"/>
      <c r="CE35" s="555"/>
      <c r="CF35" s="555"/>
      <c r="CG35" s="555"/>
      <c r="CH35" s="555"/>
      <c r="CI35" s="555"/>
      <c r="CJ35" s="555"/>
      <c r="CK35" s="555"/>
      <c r="CL35" s="555"/>
      <c r="CM35" s="555"/>
      <c r="CN35" s="555"/>
      <c r="CO35" s="555"/>
      <c r="CP35" s="555"/>
      <c r="CQ35" s="555"/>
      <c r="CR35" s="555"/>
      <c r="CS35" s="555"/>
      <c r="CT35" s="555"/>
      <c r="CU35" s="555"/>
      <c r="CV35" s="555"/>
      <c r="CW35" s="555"/>
      <c r="CX35" s="555"/>
      <c r="CY35" s="555"/>
      <c r="CZ35" s="555"/>
      <c r="DA35" s="555"/>
    </row>
    <row r="36" spans="1:105" s="565" customFormat="1" ht="11.5" x14ac:dyDescent="0.25">
      <c r="A36" s="561"/>
      <c r="B36" s="562"/>
      <c r="C36" s="560" t="s">
        <v>504</v>
      </c>
      <c r="D36" s="563">
        <f>'Updated Equipment Summary'!C23</f>
        <v>2797000</v>
      </c>
      <c r="E36" s="563">
        <v>0</v>
      </c>
      <c r="F36" s="563">
        <v>0</v>
      </c>
      <c r="G36" s="563">
        <v>0</v>
      </c>
      <c r="H36" s="563">
        <v>0</v>
      </c>
      <c r="I36" s="563">
        <v>0</v>
      </c>
      <c r="J36" s="563">
        <v>0</v>
      </c>
      <c r="K36" s="563">
        <v>0</v>
      </c>
      <c r="L36" s="563">
        <v>0</v>
      </c>
      <c r="M36" s="563">
        <v>0</v>
      </c>
      <c r="N36" s="563">
        <v>0</v>
      </c>
      <c r="O36" s="563">
        <v>0</v>
      </c>
      <c r="P36" s="563">
        <v>0</v>
      </c>
      <c r="Q36" s="563">
        <v>0</v>
      </c>
      <c r="R36" s="563">
        <v>0</v>
      </c>
      <c r="S36" s="563">
        <v>0</v>
      </c>
      <c r="T36" s="563">
        <v>0</v>
      </c>
      <c r="U36" s="563">
        <v>0</v>
      </c>
      <c r="V36" s="563">
        <v>0</v>
      </c>
      <c r="W36" s="563">
        <v>0</v>
      </c>
      <c r="X36" s="563">
        <v>0</v>
      </c>
      <c r="Y36" s="563">
        <v>0</v>
      </c>
      <c r="Z36" s="563">
        <v>0</v>
      </c>
      <c r="AA36" s="563">
        <v>0</v>
      </c>
      <c r="AB36" s="563">
        <v>0</v>
      </c>
      <c r="AC36" s="563">
        <v>0</v>
      </c>
      <c r="AD36" s="563">
        <v>0</v>
      </c>
      <c r="AE36" s="563">
        <v>0</v>
      </c>
      <c r="AF36" s="563">
        <v>0</v>
      </c>
      <c r="AG36" s="563">
        <v>0</v>
      </c>
      <c r="AH36" s="563">
        <v>0</v>
      </c>
      <c r="AI36" s="563">
        <v>0</v>
      </c>
      <c r="AJ36" s="563">
        <v>0</v>
      </c>
      <c r="AK36" s="563">
        <v>0</v>
      </c>
      <c r="AL36" s="563">
        <v>0</v>
      </c>
      <c r="AM36" s="563">
        <v>0</v>
      </c>
      <c r="AN36" s="563">
        <v>0</v>
      </c>
      <c r="AO36" s="563">
        <v>0</v>
      </c>
      <c r="AP36" s="563">
        <v>0</v>
      </c>
      <c r="AQ36" s="563">
        <v>0</v>
      </c>
      <c r="AR36" s="563">
        <v>0</v>
      </c>
      <c r="AS36" s="563">
        <v>0</v>
      </c>
      <c r="AT36" s="563">
        <v>0</v>
      </c>
      <c r="AU36" s="563">
        <v>0</v>
      </c>
      <c r="AV36" s="555"/>
      <c r="AW36" s="555"/>
      <c r="AX36" s="555"/>
      <c r="AY36" s="555"/>
      <c r="AZ36" s="555"/>
      <c r="BA36" s="555"/>
      <c r="BB36" s="555"/>
      <c r="BC36" s="555"/>
      <c r="BD36" s="555"/>
      <c r="BE36" s="555"/>
      <c r="BF36" s="555"/>
      <c r="BG36" s="555"/>
      <c r="BH36" s="555"/>
      <c r="BI36" s="555"/>
      <c r="BJ36" s="555"/>
      <c r="BK36" s="555"/>
      <c r="BL36" s="555"/>
      <c r="BM36" s="555"/>
      <c r="BN36" s="555"/>
      <c r="BO36" s="555"/>
      <c r="BP36" s="555"/>
      <c r="BQ36" s="555"/>
      <c r="BR36" s="555"/>
      <c r="BS36" s="555"/>
      <c r="BT36" s="555"/>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row>
    <row r="37" spans="1:105" s="565" customFormat="1" ht="12" x14ac:dyDescent="0.3">
      <c r="C37" s="714" t="s">
        <v>652</v>
      </c>
      <c r="D37" s="715">
        <v>1500000</v>
      </c>
      <c r="E37" s="715">
        <v>-1500000</v>
      </c>
      <c r="F37" s="563">
        <v>0</v>
      </c>
      <c r="G37" s="563">
        <v>0</v>
      </c>
      <c r="H37" s="563">
        <v>0</v>
      </c>
      <c r="I37" s="563">
        <v>0</v>
      </c>
      <c r="J37" s="563">
        <v>0</v>
      </c>
      <c r="K37" s="563">
        <v>0</v>
      </c>
      <c r="L37" s="563">
        <v>0</v>
      </c>
      <c r="M37" s="563">
        <v>0</v>
      </c>
      <c r="N37" s="563">
        <v>0</v>
      </c>
      <c r="O37" s="563">
        <v>0</v>
      </c>
      <c r="P37" s="563">
        <v>0</v>
      </c>
      <c r="Q37" s="563">
        <v>0</v>
      </c>
      <c r="R37" s="563">
        <v>0</v>
      </c>
      <c r="S37" s="563">
        <v>0</v>
      </c>
      <c r="T37" s="563">
        <v>0</v>
      </c>
      <c r="U37" s="563">
        <v>0</v>
      </c>
      <c r="V37" s="563">
        <v>0</v>
      </c>
      <c r="W37" s="563">
        <v>0</v>
      </c>
      <c r="X37" s="563">
        <v>0</v>
      </c>
      <c r="Y37" s="563">
        <v>0</v>
      </c>
      <c r="Z37" s="563">
        <v>0</v>
      </c>
      <c r="AA37" s="563">
        <v>0</v>
      </c>
      <c r="AB37" s="563">
        <v>0</v>
      </c>
      <c r="AC37" s="563">
        <v>0</v>
      </c>
      <c r="AD37" s="563">
        <v>0</v>
      </c>
      <c r="AE37" s="563">
        <v>0</v>
      </c>
      <c r="AF37" s="563">
        <v>0</v>
      </c>
      <c r="AG37" s="563">
        <v>0</v>
      </c>
      <c r="AH37" s="563">
        <v>0</v>
      </c>
      <c r="AI37" s="563">
        <v>0</v>
      </c>
      <c r="AJ37" s="563">
        <v>0</v>
      </c>
      <c r="AK37" s="563">
        <v>0</v>
      </c>
      <c r="AL37" s="563">
        <v>0</v>
      </c>
      <c r="AM37" s="563">
        <v>0</v>
      </c>
      <c r="AN37" s="563">
        <v>0</v>
      </c>
      <c r="AO37" s="563">
        <v>0</v>
      </c>
      <c r="AP37" s="563">
        <v>0</v>
      </c>
      <c r="AQ37" s="563">
        <v>0</v>
      </c>
      <c r="AR37" s="563">
        <v>0</v>
      </c>
      <c r="AS37" s="563">
        <v>0</v>
      </c>
      <c r="AT37" s="563">
        <v>0</v>
      </c>
      <c r="AU37" s="563">
        <v>0</v>
      </c>
      <c r="AV37" s="555"/>
      <c r="AW37" s="555"/>
      <c r="AX37" s="555"/>
      <c r="AY37" s="555"/>
      <c r="AZ37" s="555"/>
      <c r="BA37" s="555"/>
      <c r="BB37" s="555"/>
      <c r="BC37" s="555"/>
      <c r="BD37" s="555"/>
      <c r="BE37" s="555"/>
      <c r="BF37" s="555"/>
      <c r="BG37" s="555"/>
      <c r="BH37" s="555"/>
      <c r="BI37" s="555"/>
      <c r="BJ37" s="555"/>
      <c r="BK37" s="555"/>
      <c r="BL37" s="555"/>
      <c r="BM37" s="555"/>
      <c r="BN37" s="555"/>
      <c r="BO37" s="555"/>
      <c r="BP37" s="555"/>
      <c r="BQ37" s="555"/>
      <c r="BR37" s="555"/>
      <c r="BS37" s="555"/>
      <c r="BT37" s="555"/>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row>
    <row r="38" spans="1:105" s="565" customFormat="1" ht="11.5" x14ac:dyDescent="0.25">
      <c r="A38" s="561"/>
      <c r="B38" s="562"/>
      <c r="C38" s="566" t="s">
        <v>43</v>
      </c>
      <c r="D38" s="567">
        <f>SUM(D24:D37)</f>
        <v>11944429</v>
      </c>
      <c r="E38" s="567">
        <f>SUM(E24:E37)</f>
        <v>7189000</v>
      </c>
      <c r="F38" s="567">
        <f t="shared" ref="F38:AU38" si="7">SUM(F24:F36)</f>
        <v>0</v>
      </c>
      <c r="G38" s="567">
        <f t="shared" si="7"/>
        <v>0</v>
      </c>
      <c r="H38" s="567">
        <f t="shared" si="7"/>
        <v>0</v>
      </c>
      <c r="I38" s="567">
        <f t="shared" si="7"/>
        <v>0</v>
      </c>
      <c r="J38" s="567">
        <f t="shared" si="7"/>
        <v>0</v>
      </c>
      <c r="K38" s="567">
        <f t="shared" si="7"/>
        <v>0</v>
      </c>
      <c r="L38" s="567">
        <f t="shared" si="7"/>
        <v>0</v>
      </c>
      <c r="M38" s="567">
        <f t="shared" si="7"/>
        <v>0</v>
      </c>
      <c r="N38" s="567">
        <f t="shared" si="7"/>
        <v>0</v>
      </c>
      <c r="O38" s="567">
        <f t="shared" si="7"/>
        <v>0</v>
      </c>
      <c r="P38" s="567">
        <f t="shared" si="7"/>
        <v>0</v>
      </c>
      <c r="Q38" s="567">
        <f t="shared" si="7"/>
        <v>0</v>
      </c>
      <c r="R38" s="567">
        <f t="shared" si="7"/>
        <v>0</v>
      </c>
      <c r="S38" s="567">
        <f t="shared" si="7"/>
        <v>0</v>
      </c>
      <c r="T38" s="567">
        <f t="shared" si="7"/>
        <v>0</v>
      </c>
      <c r="U38" s="567">
        <f t="shared" si="7"/>
        <v>0</v>
      </c>
      <c r="V38" s="567">
        <f t="shared" si="7"/>
        <v>0</v>
      </c>
      <c r="W38" s="567">
        <f t="shared" si="7"/>
        <v>0</v>
      </c>
      <c r="X38" s="567">
        <f t="shared" si="7"/>
        <v>0</v>
      </c>
      <c r="Y38" s="567">
        <f t="shared" si="7"/>
        <v>0</v>
      </c>
      <c r="Z38" s="567">
        <f t="shared" si="7"/>
        <v>0</v>
      </c>
      <c r="AA38" s="567">
        <f t="shared" si="7"/>
        <v>0</v>
      </c>
      <c r="AB38" s="567">
        <f t="shared" si="7"/>
        <v>0</v>
      </c>
      <c r="AC38" s="567">
        <f t="shared" si="7"/>
        <v>0</v>
      </c>
      <c r="AD38" s="567">
        <f t="shared" si="7"/>
        <v>0</v>
      </c>
      <c r="AE38" s="567">
        <f t="shared" si="7"/>
        <v>0</v>
      </c>
      <c r="AF38" s="567">
        <f t="shared" si="7"/>
        <v>0</v>
      </c>
      <c r="AG38" s="567">
        <f t="shared" si="7"/>
        <v>0</v>
      </c>
      <c r="AH38" s="567">
        <f t="shared" si="7"/>
        <v>0</v>
      </c>
      <c r="AI38" s="567">
        <f t="shared" si="7"/>
        <v>0</v>
      </c>
      <c r="AJ38" s="567">
        <f t="shared" si="7"/>
        <v>0</v>
      </c>
      <c r="AK38" s="567">
        <f t="shared" si="7"/>
        <v>0</v>
      </c>
      <c r="AL38" s="567">
        <f t="shared" si="7"/>
        <v>0</v>
      </c>
      <c r="AM38" s="567">
        <f t="shared" si="7"/>
        <v>0</v>
      </c>
      <c r="AN38" s="567">
        <f t="shared" si="7"/>
        <v>0</v>
      </c>
      <c r="AO38" s="567">
        <f t="shared" si="7"/>
        <v>0</v>
      </c>
      <c r="AP38" s="567">
        <f t="shared" si="7"/>
        <v>0</v>
      </c>
      <c r="AQ38" s="567">
        <f t="shared" si="7"/>
        <v>0</v>
      </c>
      <c r="AR38" s="567">
        <f t="shared" si="7"/>
        <v>0</v>
      </c>
      <c r="AS38" s="567">
        <f t="shared" si="7"/>
        <v>0</v>
      </c>
      <c r="AT38" s="567">
        <f t="shared" si="7"/>
        <v>0</v>
      </c>
      <c r="AU38" s="567">
        <f t="shared" si="7"/>
        <v>0</v>
      </c>
      <c r="AV38" s="555"/>
      <c r="AW38" s="555"/>
      <c r="AX38" s="555"/>
      <c r="AY38" s="555"/>
      <c r="AZ38" s="555"/>
      <c r="BA38" s="555"/>
      <c r="BB38" s="555"/>
      <c r="BC38" s="555"/>
      <c r="BD38" s="555"/>
      <c r="BE38" s="555"/>
      <c r="BF38" s="555"/>
      <c r="BG38" s="555"/>
      <c r="BH38" s="555"/>
      <c r="BI38" s="555"/>
      <c r="BJ38" s="555"/>
      <c r="BK38" s="555"/>
      <c r="BL38" s="555"/>
      <c r="BM38" s="555"/>
      <c r="BN38" s="555"/>
      <c r="BO38" s="555"/>
      <c r="BP38" s="555"/>
      <c r="BQ38" s="555"/>
      <c r="BR38" s="555"/>
      <c r="BS38" s="555"/>
      <c r="BT38" s="555"/>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row>
    <row r="39" spans="1:105" s="560" customFormat="1" ht="11.5" x14ac:dyDescent="0.25">
      <c r="A39" s="557" t="s">
        <v>299</v>
      </c>
      <c r="B39" s="558"/>
      <c r="C39" s="558"/>
      <c r="D39" s="559" cm="1">
        <f t="array" ref="D39:AU39">Expenses_Landfill</f>
        <v>0</v>
      </c>
      <c r="E39" s="559">
        <v>414376.9347475486</v>
      </c>
      <c r="F39" s="559">
        <v>2585849.7133689816</v>
      </c>
      <c r="G39" s="559">
        <v>2889652.0897011808</v>
      </c>
      <c r="H39" s="559">
        <v>3097015.6314392476</v>
      </c>
      <c r="I39" s="559">
        <v>3181171.2826201762</v>
      </c>
      <c r="J39" s="559">
        <v>3267765.2579040714</v>
      </c>
      <c r="K39" s="559">
        <v>3508147.380174295</v>
      </c>
      <c r="L39" s="559">
        <v>3603599.5453783413</v>
      </c>
      <c r="M39" s="559">
        <v>3701818.4712216901</v>
      </c>
      <c r="N39" s="559">
        <v>4005874.4562851279</v>
      </c>
      <c r="O39" s="559">
        <v>4261945.4830457112</v>
      </c>
      <c r="P39" s="559">
        <v>4274807.3553969776</v>
      </c>
      <c r="Q39" s="559">
        <v>4592039.8179715956</v>
      </c>
      <c r="R39" s="559">
        <v>4718077.4489815887</v>
      </c>
      <c r="S39" s="559">
        <v>4847780.3364220215</v>
      </c>
      <c r="T39" s="559">
        <v>5216481.3702326575</v>
      </c>
      <c r="U39" s="559">
        <v>5359847.9412332652</v>
      </c>
      <c r="V39" s="559">
        <v>5182671.5759248566</v>
      </c>
      <c r="W39" s="559">
        <v>5572568.7707829932</v>
      </c>
      <c r="X39" s="559">
        <v>5726597.1014544442</v>
      </c>
      <c r="Y39" s="559">
        <v>5885117.3613710301</v>
      </c>
      <c r="Z39" s="559">
        <v>6148401.2505308762</v>
      </c>
      <c r="AA39" s="559">
        <v>6318906.4798603645</v>
      </c>
      <c r="AB39" s="559">
        <v>6494391.1467000842</v>
      </c>
      <c r="AC39" s="559">
        <v>6998896.8511305042</v>
      </c>
      <c r="AD39" s="559">
        <v>7193248.0291653378</v>
      </c>
      <c r="AE39" s="559">
        <v>7393279.33822989</v>
      </c>
      <c r="AF39" s="559">
        <v>7981612.7676531253</v>
      </c>
      <c r="AG39" s="559">
        <v>8203575.9489469165</v>
      </c>
      <c r="AH39" s="559">
        <v>8432031.8619382344</v>
      </c>
      <c r="AI39" s="559">
        <v>9119016.147417644</v>
      </c>
      <c r="AJ39" s="559">
        <v>9071120.9926161915</v>
      </c>
      <c r="AK39" s="559">
        <v>9324540.1099542715</v>
      </c>
      <c r="AL39" s="559">
        <v>10089985.975358859</v>
      </c>
      <c r="AM39" s="559">
        <v>10371934.178729061</v>
      </c>
      <c r="AN39" s="559">
        <v>10662151.027255625</v>
      </c>
      <c r="AO39" s="559">
        <v>11557644.541375101</v>
      </c>
      <c r="AP39" s="559">
        <v>11881156.260430068</v>
      </c>
      <c r="AQ39" s="559">
        <v>12214166.449417422</v>
      </c>
      <c r="AR39" s="559">
        <v>13263062.065187316</v>
      </c>
      <c r="AS39" s="559">
        <v>13630049.502814431</v>
      </c>
      <c r="AT39" s="559">
        <v>12631123.348940916</v>
      </c>
      <c r="AU39" s="559">
        <v>13300908.601661574</v>
      </c>
      <c r="AV39" s="538"/>
      <c r="AW39" s="538"/>
      <c r="AX39" s="538"/>
      <c r="AY39" s="538"/>
      <c r="AZ39" s="538"/>
      <c r="BA39" s="538"/>
      <c r="BB39" s="538"/>
      <c r="BC39" s="538"/>
      <c r="BD39" s="538"/>
      <c r="BE39" s="538"/>
      <c r="BF39" s="538"/>
      <c r="BG39" s="538"/>
      <c r="BH39" s="538"/>
      <c r="BI39" s="538"/>
      <c r="BJ39" s="538"/>
      <c r="BK39" s="538"/>
      <c r="BL39" s="538"/>
      <c r="BM39" s="538"/>
      <c r="BN39" s="538"/>
      <c r="BO39" s="538"/>
      <c r="BP39" s="538"/>
      <c r="BQ39" s="538"/>
      <c r="BR39" s="538"/>
      <c r="BS39" s="538"/>
      <c r="BT39" s="538"/>
      <c r="BU39" s="538"/>
      <c r="BV39" s="538"/>
      <c r="BW39" s="538"/>
      <c r="BX39" s="538"/>
      <c r="BY39" s="538"/>
      <c r="BZ39" s="538"/>
      <c r="CA39" s="538"/>
      <c r="CB39" s="538"/>
      <c r="CC39" s="538"/>
      <c r="CD39" s="538"/>
      <c r="CE39" s="538"/>
      <c r="CF39" s="538"/>
      <c r="CG39" s="538"/>
      <c r="CH39" s="538"/>
      <c r="CI39" s="538"/>
      <c r="CJ39" s="538"/>
      <c r="CK39" s="538"/>
      <c r="CL39" s="538"/>
      <c r="CM39" s="538"/>
      <c r="CN39" s="538"/>
      <c r="CO39" s="538"/>
      <c r="CP39" s="538"/>
      <c r="CQ39" s="538"/>
      <c r="CR39" s="538"/>
      <c r="CS39" s="538"/>
      <c r="CT39" s="538"/>
      <c r="CU39" s="538"/>
      <c r="CV39" s="538"/>
      <c r="CW39" s="538"/>
      <c r="CX39" s="538"/>
      <c r="CY39" s="538"/>
      <c r="CZ39" s="538"/>
      <c r="DA39" s="538"/>
    </row>
    <row r="40" spans="1:105" s="560" customFormat="1" ht="11.5" x14ac:dyDescent="0.25">
      <c r="A40" s="557" t="s">
        <v>300</v>
      </c>
      <c r="B40" s="568"/>
      <c r="C40" s="558"/>
      <c r="D40" s="559" cm="1">
        <f t="array" ref="D40:AU40">Expenses_Hauling</f>
        <v>0</v>
      </c>
      <c r="E40" s="559">
        <v>114550.53386025981</v>
      </c>
      <c r="F40" s="559">
        <v>723177.82992584386</v>
      </c>
      <c r="G40" s="559">
        <v>834217.31938067451</v>
      </c>
      <c r="H40" s="559">
        <v>881251.57340254635</v>
      </c>
      <c r="I40" s="559">
        <v>904627.56252766668</v>
      </c>
      <c r="J40" s="559">
        <v>928714.60256778263</v>
      </c>
      <c r="K40" s="559">
        <v>982850.79473840492</v>
      </c>
      <c r="L40" s="559">
        <v>1009126.8466054411</v>
      </c>
      <c r="M40" s="559">
        <v>1036177.5017773153</v>
      </c>
      <c r="N40" s="559">
        <v>1098468.8083262425</v>
      </c>
      <c r="O40" s="559">
        <v>1127930.6476156237</v>
      </c>
      <c r="P40" s="559">
        <v>1158245.6041973461</v>
      </c>
      <c r="Q40" s="559">
        <v>1230178.4868696472</v>
      </c>
      <c r="R40" s="559">
        <v>1263351.6365241772</v>
      </c>
      <c r="S40" s="559">
        <v>1297468.3257686177</v>
      </c>
      <c r="T40" s="559">
        <v>1380472.6811107467</v>
      </c>
      <c r="U40" s="559">
        <v>1417829.7225293159</v>
      </c>
      <c r="V40" s="559">
        <v>1456298.0949567854</v>
      </c>
      <c r="W40" s="559">
        <v>1552374.6969743189</v>
      </c>
      <c r="X40" s="559">
        <v>1594531.3979390597</v>
      </c>
      <c r="Y40" s="559">
        <v>1637977.1788484594</v>
      </c>
      <c r="Z40" s="559">
        <v>1496045.523541335</v>
      </c>
      <c r="AA40" s="559">
        <v>1537260.038187769</v>
      </c>
      <c r="AB40" s="559">
        <v>1579602.2680520997</v>
      </c>
      <c r="AC40" s="559">
        <v>1676372.8298654323</v>
      </c>
      <c r="AD40" s="559">
        <v>1722735.2425265643</v>
      </c>
      <c r="AE40" s="559">
        <v>1770408.6359982518</v>
      </c>
      <c r="AF40" s="559">
        <v>1882314.7163745428</v>
      </c>
      <c r="AG40" s="559">
        <v>1934539.4852824383</v>
      </c>
      <c r="AH40" s="559">
        <v>1988279.4844380305</v>
      </c>
      <c r="AI40" s="559">
        <v>2117790.4980224459</v>
      </c>
      <c r="AJ40" s="559">
        <v>1896313.4358438402</v>
      </c>
      <c r="AK40" s="559">
        <v>1949587.2405005838</v>
      </c>
      <c r="AL40" s="559">
        <v>2064703.2385817845</v>
      </c>
      <c r="AM40" s="559">
        <v>2122707.1659940532</v>
      </c>
      <c r="AN40" s="559">
        <v>2182523.7185901855</v>
      </c>
      <c r="AO40" s="559">
        <v>2315287.0182942399</v>
      </c>
      <c r="AP40" s="559">
        <v>2380645.0100606564</v>
      </c>
      <c r="AQ40" s="559">
        <v>2447874.7510368028</v>
      </c>
      <c r="AR40" s="559">
        <v>2601350.6748696477</v>
      </c>
      <c r="AS40" s="559">
        <v>2664853.8672583615</v>
      </c>
      <c r="AT40" s="559">
        <v>1702482.8967142524</v>
      </c>
      <c r="AU40" s="559">
        <v>1752036.0294247782</v>
      </c>
      <c r="AV40" s="538"/>
      <c r="AW40" s="538"/>
      <c r="AX40" s="538"/>
      <c r="AY40" s="538"/>
      <c r="AZ40" s="538"/>
      <c r="BA40" s="538"/>
      <c r="BB40" s="538"/>
      <c r="BC40" s="538"/>
      <c r="BD40" s="538"/>
      <c r="BE40" s="538"/>
      <c r="BF40" s="538"/>
      <c r="BG40" s="538"/>
      <c r="BH40" s="538"/>
      <c r="BI40" s="538"/>
      <c r="BJ40" s="538"/>
      <c r="BK40" s="538"/>
      <c r="BL40" s="538"/>
      <c r="BM40" s="538"/>
      <c r="BN40" s="538"/>
      <c r="BO40" s="538"/>
      <c r="BP40" s="538"/>
      <c r="BQ40" s="538"/>
      <c r="BR40" s="538"/>
      <c r="BS40" s="538"/>
      <c r="BT40" s="538"/>
      <c r="BU40" s="538"/>
      <c r="BV40" s="538"/>
      <c r="BW40" s="538"/>
      <c r="BX40" s="538"/>
      <c r="BY40" s="538"/>
      <c r="BZ40" s="538"/>
      <c r="CA40" s="538"/>
      <c r="CB40" s="538"/>
      <c r="CC40" s="538"/>
      <c r="CD40" s="538"/>
      <c r="CE40" s="538"/>
      <c r="CF40" s="538"/>
      <c r="CG40" s="538"/>
      <c r="CH40" s="538"/>
      <c r="CI40" s="538"/>
      <c r="CJ40" s="538"/>
      <c r="CK40" s="538"/>
      <c r="CL40" s="538"/>
      <c r="CM40" s="538"/>
      <c r="CN40" s="538"/>
      <c r="CO40" s="538"/>
      <c r="CP40" s="538"/>
      <c r="CQ40" s="538"/>
      <c r="CR40" s="538"/>
      <c r="CS40" s="538"/>
      <c r="CT40" s="538"/>
      <c r="CU40" s="538"/>
      <c r="CV40" s="538"/>
      <c r="CW40" s="538"/>
      <c r="CX40" s="538"/>
      <c r="CY40" s="538"/>
      <c r="CZ40" s="538"/>
      <c r="DA40" s="538"/>
    </row>
    <row r="41" spans="1:105" s="572" customFormat="1" ht="11.5" x14ac:dyDescent="0.25">
      <c r="A41" s="569" t="s">
        <v>22</v>
      </c>
      <c r="B41" s="570"/>
      <c r="C41" s="570"/>
      <c r="D41" s="571">
        <f t="shared" ref="D41:AU41" si="8">SUM(D5,-D16)</f>
        <v>6170571</v>
      </c>
      <c r="E41" s="571">
        <f t="shared" si="8"/>
        <v>-5629145.2473878274</v>
      </c>
      <c r="F41" s="571">
        <f t="shared" si="8"/>
        <v>515867.75089691952</v>
      </c>
      <c r="G41" s="571">
        <f t="shared" si="8"/>
        <v>149849.83239704743</v>
      </c>
      <c r="H41" s="571">
        <f t="shared" si="8"/>
        <v>390738.78146319464</v>
      </c>
      <c r="I41" s="571">
        <f t="shared" si="8"/>
        <v>412834.72911123</v>
      </c>
      <c r="J41" s="571">
        <f t="shared" si="8"/>
        <v>430525.21449940559</v>
      </c>
      <c r="K41" s="571">
        <f t="shared" si="8"/>
        <v>-115076.24243257474</v>
      </c>
      <c r="L41" s="571">
        <f t="shared" si="8"/>
        <v>-110181.25125068985</v>
      </c>
      <c r="M41" s="571">
        <f t="shared" si="8"/>
        <v>-99917.827506119385</v>
      </c>
      <c r="N41" s="571">
        <f t="shared" si="8"/>
        <v>114979.16183787491</v>
      </c>
      <c r="O41" s="571">
        <f t="shared" si="8"/>
        <v>-15866.765572072007</v>
      </c>
      <c r="P41" s="571">
        <f t="shared" si="8"/>
        <v>95050.597439393401</v>
      </c>
      <c r="Q41" s="571">
        <f t="shared" si="8"/>
        <v>67678.438062945381</v>
      </c>
      <c r="R41" s="571">
        <f t="shared" si="8"/>
        <v>77202.98365111649</v>
      </c>
      <c r="S41" s="571">
        <f t="shared" si="8"/>
        <v>92173.74460856244</v>
      </c>
      <c r="T41" s="571">
        <f t="shared" si="8"/>
        <v>406889.09532660991</v>
      </c>
      <c r="U41" s="571">
        <f t="shared" si="8"/>
        <v>425403.33766529802</v>
      </c>
      <c r="V41" s="571">
        <f t="shared" si="8"/>
        <v>769311.28769659158</v>
      </c>
      <c r="W41" s="571">
        <f t="shared" si="8"/>
        <v>-442114.17029551417</v>
      </c>
      <c r="X41" s="571">
        <f t="shared" si="8"/>
        <v>-444849.93524228502</v>
      </c>
      <c r="Y41" s="571">
        <f t="shared" si="8"/>
        <v>-447533.34987447504</v>
      </c>
      <c r="Z41" s="571">
        <f t="shared" si="8"/>
        <v>31903.681073894724</v>
      </c>
      <c r="AA41" s="571">
        <f t="shared" si="8"/>
        <v>42060.08725676313</v>
      </c>
      <c r="AB41" s="571">
        <f t="shared" si="8"/>
        <v>52606.130355283618</v>
      </c>
      <c r="AC41" s="571">
        <f t="shared" si="8"/>
        <v>150972.33893704973</v>
      </c>
      <c r="AD41" s="571">
        <f t="shared" si="8"/>
        <v>164851.25927288644</v>
      </c>
      <c r="AE41" s="571">
        <f t="shared" si="8"/>
        <v>179197.83029043488</v>
      </c>
      <c r="AF41" s="571">
        <f t="shared" si="8"/>
        <v>597131.36012570001</v>
      </c>
      <c r="AG41" s="571">
        <f t="shared" si="8"/>
        <v>618293.40260744654</v>
      </c>
      <c r="AH41" s="571">
        <f t="shared" si="8"/>
        <v>645378.70768803172</v>
      </c>
      <c r="AI41" s="571">
        <f t="shared" si="8"/>
        <v>-646495.21524520777</v>
      </c>
      <c r="AJ41" s="571">
        <f t="shared" si="8"/>
        <v>-355572.26312982105</v>
      </c>
      <c r="AK41" s="571">
        <f t="shared" si="8"/>
        <v>-358557.30418642797</v>
      </c>
      <c r="AL41" s="571">
        <f t="shared" si="8"/>
        <v>57836.153922757134</v>
      </c>
      <c r="AM41" s="571">
        <f t="shared" si="8"/>
        <v>66391.110028138384</v>
      </c>
      <c r="AN41" s="571">
        <f t="shared" si="8"/>
        <v>75442.265738870949</v>
      </c>
      <c r="AO41" s="571">
        <f t="shared" si="8"/>
        <v>255133.91177082621</v>
      </c>
      <c r="AP41" s="571">
        <f t="shared" si="8"/>
        <v>264750.02663058601</v>
      </c>
      <c r="AQ41" s="571">
        <f t="shared" si="8"/>
        <v>280135.04275710136</v>
      </c>
      <c r="AR41" s="571">
        <f t="shared" si="8"/>
        <v>850061.12130218185</v>
      </c>
      <c r="AS41" s="571">
        <f t="shared" si="8"/>
        <v>881631.55604461208</v>
      </c>
      <c r="AT41" s="571">
        <f t="shared" si="8"/>
        <v>2291275.7050932012</v>
      </c>
      <c r="AU41" s="571">
        <f t="shared" si="8"/>
        <v>-5194128.7708692141</v>
      </c>
    </row>
    <row r="42" spans="1:105" s="8" customFormat="1" ht="21.75" customHeight="1" thickBot="1" x14ac:dyDescent="0.4">
      <c r="A42" s="32" t="s">
        <v>3</v>
      </c>
      <c r="B42" s="30"/>
      <c r="C42" s="30"/>
      <c r="D42" s="31">
        <f>SUM(D4,D41)</f>
        <v>6170571</v>
      </c>
      <c r="E42" s="31">
        <f t="shared" ref="E42:AU42" si="9">SUM(E4,E41)</f>
        <v>541425.75261217263</v>
      </c>
      <c r="F42" s="31">
        <f t="shared" si="9"/>
        <v>1057293.5035090921</v>
      </c>
      <c r="G42" s="31">
        <f t="shared" si="9"/>
        <v>1207143.3359061396</v>
      </c>
      <c r="H42" s="31">
        <f t="shared" si="9"/>
        <v>1597882.1173693342</v>
      </c>
      <c r="I42" s="31">
        <f t="shared" si="9"/>
        <v>2010716.8464805642</v>
      </c>
      <c r="J42" s="31">
        <f t="shared" si="9"/>
        <v>2441242.0609799698</v>
      </c>
      <c r="K42" s="31">
        <f t="shared" si="9"/>
        <v>2326165.8185473951</v>
      </c>
      <c r="L42" s="31">
        <f t="shared" si="9"/>
        <v>2215984.5672967052</v>
      </c>
      <c r="M42" s="31">
        <f t="shared" si="9"/>
        <v>2116066.7397905858</v>
      </c>
      <c r="N42" s="31">
        <f t="shared" si="9"/>
        <v>2231045.9016284607</v>
      </c>
      <c r="O42" s="31">
        <f t="shared" si="9"/>
        <v>2215179.1360563887</v>
      </c>
      <c r="P42" s="31">
        <f t="shared" si="9"/>
        <v>2310229.7334957821</v>
      </c>
      <c r="Q42" s="31">
        <f t="shared" si="9"/>
        <v>2377908.1715587275</v>
      </c>
      <c r="R42" s="31">
        <f t="shared" si="9"/>
        <v>2455111.155209844</v>
      </c>
      <c r="S42" s="31">
        <f t="shared" si="9"/>
        <v>2547284.8998184064</v>
      </c>
      <c r="T42" s="31">
        <f t="shared" si="9"/>
        <v>2954173.9951450163</v>
      </c>
      <c r="U42" s="31">
        <f t="shared" si="9"/>
        <v>3379577.3328103144</v>
      </c>
      <c r="V42" s="31">
        <f t="shared" si="9"/>
        <v>4148888.620506906</v>
      </c>
      <c r="W42" s="31">
        <f t="shared" si="9"/>
        <v>3706774.4502113918</v>
      </c>
      <c r="X42" s="31">
        <f t="shared" si="9"/>
        <v>3261924.5149691068</v>
      </c>
      <c r="Y42" s="31">
        <f t="shared" si="9"/>
        <v>2814391.1650946317</v>
      </c>
      <c r="Z42" s="31">
        <f t="shared" si="9"/>
        <v>2846294.8461685264</v>
      </c>
      <c r="AA42" s="31">
        <f t="shared" si="9"/>
        <v>2888354.9334252896</v>
      </c>
      <c r="AB42" s="31">
        <f t="shared" si="9"/>
        <v>2940961.0637805732</v>
      </c>
      <c r="AC42" s="31">
        <f t="shared" si="9"/>
        <v>3091933.4027176229</v>
      </c>
      <c r="AD42" s="31">
        <f t="shared" si="9"/>
        <v>3256784.6619905094</v>
      </c>
      <c r="AE42" s="31">
        <f t="shared" si="9"/>
        <v>3435982.4922809443</v>
      </c>
      <c r="AF42" s="31">
        <f t="shared" si="9"/>
        <v>4033113.8524066443</v>
      </c>
      <c r="AG42" s="31">
        <f t="shared" si="9"/>
        <v>4651407.2550140908</v>
      </c>
      <c r="AH42" s="31">
        <f t="shared" si="9"/>
        <v>5296785.9627021225</v>
      </c>
      <c r="AI42" s="31">
        <f t="shared" si="9"/>
        <v>4650290.7474569147</v>
      </c>
      <c r="AJ42" s="31">
        <f t="shared" si="9"/>
        <v>4294718.4843270937</v>
      </c>
      <c r="AK42" s="31">
        <f t="shared" si="9"/>
        <v>3936161.1801406657</v>
      </c>
      <c r="AL42" s="31">
        <f t="shared" si="9"/>
        <v>3993997.3340634229</v>
      </c>
      <c r="AM42" s="31">
        <f t="shared" si="9"/>
        <v>4060388.4440915613</v>
      </c>
      <c r="AN42" s="31">
        <f t="shared" si="9"/>
        <v>4135830.7098304322</v>
      </c>
      <c r="AO42" s="31">
        <f t="shared" si="9"/>
        <v>4390964.6216012584</v>
      </c>
      <c r="AP42" s="31">
        <f t="shared" si="9"/>
        <v>4655714.6482318444</v>
      </c>
      <c r="AQ42" s="31">
        <f t="shared" si="9"/>
        <v>4935849.6909889458</v>
      </c>
      <c r="AR42" s="31">
        <f t="shared" si="9"/>
        <v>5785910.8122911276</v>
      </c>
      <c r="AS42" s="31">
        <f t="shared" si="9"/>
        <v>6667542.3683357397</v>
      </c>
      <c r="AT42" s="31">
        <f t="shared" si="9"/>
        <v>8958818.07342894</v>
      </c>
      <c r="AU42" s="31">
        <f t="shared" si="9"/>
        <v>3764689.3025597259</v>
      </c>
    </row>
    <row r="43" spans="1:105" s="573" customFormat="1" ht="10.5" x14ac:dyDescent="0.25">
      <c r="C43" s="608" t="s">
        <v>528</v>
      </c>
      <c r="D43" s="574"/>
      <c r="E43" s="574"/>
      <c r="F43" s="574" t="str">
        <f t="shared" ref="F43:AT43" si="10">IF(F42+G5&gt;=G16*1.25,"Pass","Fail")</f>
        <v>Pass</v>
      </c>
      <c r="G43" s="574" t="str">
        <f t="shared" si="10"/>
        <v>Pass</v>
      </c>
      <c r="H43" s="574" t="str">
        <f t="shared" si="10"/>
        <v>Pass</v>
      </c>
      <c r="I43" s="574" t="str">
        <f t="shared" si="10"/>
        <v>Pass</v>
      </c>
      <c r="J43" s="574" t="str">
        <f t="shared" si="10"/>
        <v>Pass</v>
      </c>
      <c r="K43" s="574" t="str">
        <f t="shared" si="10"/>
        <v>Pass</v>
      </c>
      <c r="L43" s="574" t="str">
        <f t="shared" si="10"/>
        <v>Pass</v>
      </c>
      <c r="M43" s="574" t="str">
        <f t="shared" si="10"/>
        <v>Pass</v>
      </c>
      <c r="N43" s="574" t="str">
        <f t="shared" si="10"/>
        <v>Pass</v>
      </c>
      <c r="O43" s="574" t="str">
        <f t="shared" si="10"/>
        <v>Pass</v>
      </c>
      <c r="P43" s="574" t="str">
        <f t="shared" si="10"/>
        <v>Pass</v>
      </c>
      <c r="Q43" s="574" t="str">
        <f t="shared" si="10"/>
        <v>Pass</v>
      </c>
      <c r="R43" s="574" t="str">
        <f t="shared" si="10"/>
        <v>Pass</v>
      </c>
      <c r="S43" s="574" t="str">
        <f t="shared" si="10"/>
        <v>Pass</v>
      </c>
      <c r="T43" s="574" t="str">
        <f t="shared" si="10"/>
        <v>Pass</v>
      </c>
      <c r="U43" s="574" t="str">
        <f t="shared" si="10"/>
        <v>Pass</v>
      </c>
      <c r="V43" s="574" t="str">
        <f t="shared" si="10"/>
        <v>Pass</v>
      </c>
      <c r="W43" s="574" t="str">
        <f t="shared" si="10"/>
        <v>Pass</v>
      </c>
      <c r="X43" s="574" t="str">
        <f t="shared" si="10"/>
        <v>Pass</v>
      </c>
      <c r="Y43" s="574" t="str">
        <f t="shared" si="10"/>
        <v>Pass</v>
      </c>
      <c r="Z43" s="574" t="str">
        <f t="shared" si="10"/>
        <v>Pass</v>
      </c>
      <c r="AA43" s="574" t="str">
        <f t="shared" si="10"/>
        <v>Pass</v>
      </c>
      <c r="AB43" s="574" t="str">
        <f t="shared" si="10"/>
        <v>Pass</v>
      </c>
      <c r="AC43" s="574" t="str">
        <f t="shared" si="10"/>
        <v>Pass</v>
      </c>
      <c r="AD43" s="574" t="str">
        <f t="shared" si="10"/>
        <v>Pass</v>
      </c>
      <c r="AE43" s="574" t="str">
        <f t="shared" si="10"/>
        <v>Pass</v>
      </c>
      <c r="AF43" s="574" t="str">
        <f t="shared" si="10"/>
        <v>Pass</v>
      </c>
      <c r="AG43" s="574" t="str">
        <f t="shared" si="10"/>
        <v>Pass</v>
      </c>
      <c r="AH43" s="574" t="str">
        <f t="shared" si="10"/>
        <v>Pass</v>
      </c>
      <c r="AI43" s="574" t="str">
        <f t="shared" si="10"/>
        <v>Pass</v>
      </c>
      <c r="AJ43" s="574" t="str">
        <f t="shared" si="10"/>
        <v>Pass</v>
      </c>
      <c r="AK43" s="574" t="str">
        <f t="shared" si="10"/>
        <v>Pass</v>
      </c>
      <c r="AL43" s="574" t="str">
        <f t="shared" si="10"/>
        <v>Pass</v>
      </c>
      <c r="AM43" s="574" t="str">
        <f t="shared" si="10"/>
        <v>Pass</v>
      </c>
      <c r="AN43" s="574" t="str">
        <f t="shared" si="10"/>
        <v>Pass</v>
      </c>
      <c r="AO43" s="574" t="str">
        <f t="shared" si="10"/>
        <v>Pass</v>
      </c>
      <c r="AP43" s="574" t="str">
        <f t="shared" si="10"/>
        <v>Pass</v>
      </c>
      <c r="AQ43" s="574" t="str">
        <f t="shared" si="10"/>
        <v>Pass</v>
      </c>
      <c r="AR43" s="574" t="str">
        <f t="shared" si="10"/>
        <v>Pass</v>
      </c>
      <c r="AS43" s="574" t="str">
        <f t="shared" si="10"/>
        <v>Pass</v>
      </c>
      <c r="AT43" s="574" t="str">
        <f t="shared" si="10"/>
        <v>Pass</v>
      </c>
      <c r="AU43" s="574" t="str">
        <f>IF(AU5+AT42&gt;=AU16*1.25,"Pass","Fail")</f>
        <v>Pass</v>
      </c>
    </row>
    <row r="44" spans="1:105" s="607" customFormat="1" ht="10" x14ac:dyDescent="0.2">
      <c r="C44" s="608" t="s">
        <v>475</v>
      </c>
      <c r="F44" s="607">
        <f t="shared" ref="F44:AT44" si="11">G16*1.25-G5+0.01</f>
        <v>965095.65487341606</v>
      </c>
      <c r="G44" s="607">
        <f t="shared" si="11"/>
        <v>788599.90474725352</v>
      </c>
      <c r="H44" s="607">
        <f t="shared" si="11"/>
        <v>792864.99217573018</v>
      </c>
      <c r="I44" s="607">
        <f t="shared" si="11"/>
        <v>803540.07561855786</v>
      </c>
      <c r="J44" s="607">
        <f t="shared" si="11"/>
        <v>1422150.7961607494</v>
      </c>
      <c r="K44" s="607">
        <f t="shared" si="11"/>
        <v>1448284.734246636</v>
      </c>
      <c r="L44" s="607">
        <f t="shared" si="11"/>
        <v>1468619.955755871</v>
      </c>
      <c r="M44" s="607">
        <f t="shared" si="11"/>
        <v>1345808.2293149673</v>
      </c>
      <c r="N44" s="607">
        <f t="shared" si="11"/>
        <v>1547220.1832374057</v>
      </c>
      <c r="O44" s="607">
        <f t="shared" si="11"/>
        <v>1447497.0274591877</v>
      </c>
      <c r="P44" s="607">
        <f t="shared" si="11"/>
        <v>1572494.8981473653</v>
      </c>
      <c r="Q44" s="607">
        <f t="shared" si="11"/>
        <v>1603041.7977253248</v>
      </c>
      <c r="R44" s="607">
        <f t="shared" si="11"/>
        <v>1627979.0559390981</v>
      </c>
      <c r="S44" s="607">
        <f t="shared" si="11"/>
        <v>1426360.3675092405</v>
      </c>
      <c r="T44" s="607">
        <f t="shared" si="11"/>
        <v>1453131.7132753481</v>
      </c>
      <c r="U44" s="607">
        <f t="shared" si="11"/>
        <v>1074585.8300238189</v>
      </c>
      <c r="V44" s="607">
        <f t="shared" si="11"/>
        <v>2407478.1722348426</v>
      </c>
      <c r="W44" s="607">
        <f t="shared" si="11"/>
        <v>2459168.0100906612</v>
      </c>
      <c r="X44" s="607">
        <f t="shared" si="11"/>
        <v>2512185.1199293463</v>
      </c>
      <c r="Y44" s="607">
        <f t="shared" si="11"/>
        <v>2064112.7124441585</v>
      </c>
      <c r="Z44" s="607">
        <f t="shared" si="11"/>
        <v>2106564.3672552705</v>
      </c>
      <c r="AA44" s="607">
        <f t="shared" si="11"/>
        <v>2150087.548332762</v>
      </c>
      <c r="AB44" s="607">
        <f t="shared" si="11"/>
        <v>2202837.281311933</v>
      </c>
      <c r="AC44" s="607">
        <f t="shared" si="11"/>
        <v>2248585.1936500892</v>
      </c>
      <c r="AD44" s="607">
        <f t="shared" si="11"/>
        <v>2295547.6132666003</v>
      </c>
      <c r="AE44" s="607">
        <f t="shared" si="11"/>
        <v>2053241.1458812172</v>
      </c>
      <c r="AF44" s="607">
        <f t="shared" si="11"/>
        <v>2101094.8409498911</v>
      </c>
      <c r="AG44" s="607">
        <f t="shared" si="11"/>
        <v>2143678.8289060332</v>
      </c>
      <c r="AH44" s="607">
        <f t="shared" si="11"/>
        <v>3639981.2616052292</v>
      </c>
      <c r="AI44" s="607">
        <f t="shared" si="11"/>
        <v>3281921.5052448288</v>
      </c>
      <c r="AJ44" s="607">
        <f t="shared" si="11"/>
        <v>3361687.5918001421</v>
      </c>
      <c r="AK44" s="607">
        <f t="shared" si="11"/>
        <v>3165443.9745624028</v>
      </c>
      <c r="AL44" s="607">
        <f t="shared" si="11"/>
        <v>3241787.9861526396</v>
      </c>
      <c r="AM44" s="607">
        <f t="shared" si="11"/>
        <v>3320057.6807225812</v>
      </c>
      <c r="AN44" s="607">
        <f t="shared" si="11"/>
        <v>3397144.3031465076</v>
      </c>
      <c r="AO44" s="607">
        <f t="shared" si="11"/>
        <v>3485611.2409920935</v>
      </c>
      <c r="AP44" s="607">
        <f t="shared" si="11"/>
        <v>3569770.5823564529</v>
      </c>
      <c r="AQ44" s="607">
        <f t="shared" si="11"/>
        <v>3299823.3237120602</v>
      </c>
      <c r="AR44" s="607">
        <f t="shared" si="11"/>
        <v>3376413.0464735869</v>
      </c>
      <c r="AS44" s="607">
        <f t="shared" si="11"/>
        <v>1476850.8663205898</v>
      </c>
      <c r="AT44" s="607">
        <f t="shared" si="11"/>
        <v>8957364.9386408012</v>
      </c>
      <c r="AU44" s="607">
        <v>3000000</v>
      </c>
    </row>
    <row r="46" spans="1:105" s="669" customFormat="1" ht="10.5" x14ac:dyDescent="0.25">
      <c r="C46" s="668" t="s">
        <v>532</v>
      </c>
      <c r="D46" s="670" t="s">
        <v>63</v>
      </c>
      <c r="E46" s="671">
        <f t="shared" ref="E46:AU46" si="12">SUM(E47:E50)</f>
        <v>474231.68735972146</v>
      </c>
      <c r="F46" s="671">
        <f t="shared" si="12"/>
        <v>3101222.4642659002</v>
      </c>
      <c r="G46" s="671">
        <f t="shared" si="12"/>
        <v>3775414.4220982287</v>
      </c>
      <c r="H46" s="671">
        <f t="shared" si="12"/>
        <v>4226841.9129024437</v>
      </c>
      <c r="I46" s="671">
        <f t="shared" si="12"/>
        <v>4331006.0117314057</v>
      </c>
      <c r="J46" s="671">
        <f t="shared" si="12"/>
        <v>4438071.7324034767</v>
      </c>
      <c r="K46" s="671">
        <f t="shared" si="12"/>
        <v>4130371.1377417208</v>
      </c>
      <c r="L46" s="671">
        <f t="shared" si="12"/>
        <v>4233105.7941276506</v>
      </c>
      <c r="M46" s="671">
        <f t="shared" si="12"/>
        <v>4338713.1437155707</v>
      </c>
      <c r="N46" s="671">
        <f t="shared" si="12"/>
        <v>4859659.878123004</v>
      </c>
      <c r="O46" s="671">
        <f t="shared" si="12"/>
        <v>4981616.2174736401</v>
      </c>
      <c r="P46" s="671">
        <f t="shared" si="12"/>
        <v>5106995.452836372</v>
      </c>
      <c r="Q46" s="671">
        <f t="shared" si="12"/>
        <v>5398193.25603454</v>
      </c>
      <c r="R46" s="671">
        <f t="shared" si="12"/>
        <v>5534830.4326327052</v>
      </c>
      <c r="S46" s="671">
        <f t="shared" si="12"/>
        <v>5675316.5810305839</v>
      </c>
      <c r="T46" s="671">
        <f t="shared" si="12"/>
        <v>6359414.2255592663</v>
      </c>
      <c r="U46" s="671">
        <f t="shared" si="12"/>
        <v>6521713.7788985614</v>
      </c>
      <c r="V46" s="671">
        <f t="shared" si="12"/>
        <v>6688601.6236214479</v>
      </c>
      <c r="W46" s="671">
        <f t="shared" si="12"/>
        <v>5866967.1004874799</v>
      </c>
      <c r="X46" s="671">
        <f t="shared" si="12"/>
        <v>6017890.926212159</v>
      </c>
      <c r="Y46" s="671">
        <f t="shared" si="12"/>
        <v>6173096.511496556</v>
      </c>
      <c r="Z46" s="671">
        <f t="shared" si="12"/>
        <v>6919923.6916047717</v>
      </c>
      <c r="AA46" s="671">
        <f t="shared" si="12"/>
        <v>7099297.8271171283</v>
      </c>
      <c r="AB46" s="671">
        <f t="shared" si="12"/>
        <v>7283778.5370553685</v>
      </c>
      <c r="AC46" s="671">
        <f t="shared" si="12"/>
        <v>7889837.9500675527</v>
      </c>
      <c r="AD46" s="671">
        <f t="shared" si="12"/>
        <v>8095861.7884382242</v>
      </c>
      <c r="AE46" s="671">
        <f t="shared" si="12"/>
        <v>8307770.9285203256</v>
      </c>
      <c r="AF46" s="671">
        <f t="shared" si="12"/>
        <v>9316306.6277788263</v>
      </c>
      <c r="AG46" s="671">
        <f t="shared" si="12"/>
        <v>9561306.851554364</v>
      </c>
      <c r="AH46" s="671">
        <f t="shared" si="12"/>
        <v>9813329.3296262678</v>
      </c>
      <c r="AI46" s="671">
        <f t="shared" si="12"/>
        <v>9209658.4321724381</v>
      </c>
      <c r="AJ46" s="671">
        <f t="shared" si="12"/>
        <v>9453511.2294863686</v>
      </c>
      <c r="AK46" s="671">
        <f t="shared" si="12"/>
        <v>9704376.5657678433</v>
      </c>
      <c r="AL46" s="671">
        <f t="shared" si="12"/>
        <v>10886253.389281614</v>
      </c>
      <c r="AM46" s="671">
        <f t="shared" si="12"/>
        <v>11176400.288757199</v>
      </c>
      <c r="AN46" s="671">
        <f t="shared" si="12"/>
        <v>11474918.292994495</v>
      </c>
      <c r="AO46" s="671">
        <f t="shared" si="12"/>
        <v>12548959.713145927</v>
      </c>
      <c r="AP46" s="671">
        <f t="shared" si="12"/>
        <v>12885550.047060654</v>
      </c>
      <c r="AQ46" s="671">
        <f t="shared" si="12"/>
        <v>13231882.752174523</v>
      </c>
      <c r="AR46" s="671">
        <f t="shared" si="12"/>
        <v>14848248.186489504</v>
      </c>
      <c r="AS46" s="671">
        <f t="shared" si="12"/>
        <v>15248956.058859045</v>
      </c>
      <c r="AT46" s="671">
        <f t="shared" si="12"/>
        <v>15661299.054034114</v>
      </c>
      <c r="AU46" s="671">
        <f t="shared" si="12"/>
        <v>8106779.83079236</v>
      </c>
    </row>
    <row r="47" spans="1:105" s="665" customFormat="1" x14ac:dyDescent="0.25">
      <c r="C47" s="608" t="s">
        <v>50</v>
      </c>
      <c r="D47" s="664" t="str">
        <f>Forecast_Landfill!D46</f>
        <v>--</v>
      </c>
      <c r="E47" s="666">
        <f>Forecast_Landfill!E46</f>
        <v>385196.86806708865</v>
      </c>
      <c r="F47" s="666">
        <f>Forecast_Landfill!F46</f>
        <v>2369654.0929751163</v>
      </c>
      <c r="G47" s="666">
        <f>Forecast_Landfill!G46</f>
        <v>2429606.3415273866</v>
      </c>
      <c r="H47" s="666">
        <f>Forecast_Landfill!H46</f>
        <v>2722065.3289117794</v>
      </c>
      <c r="I47" s="666">
        <f>Forecast_Landfill!I46</f>
        <v>2790933.5817332477</v>
      </c>
      <c r="J47" s="666">
        <f>Forecast_Landfill!J46</f>
        <v>2861544.2013510992</v>
      </c>
      <c r="K47" s="666">
        <f>Forecast_Landfill!K46</f>
        <v>2664453.9858608758</v>
      </c>
      <c r="L47" s="666">
        <f>Forecast_Landfill!L46</f>
        <v>2731864.6717031561</v>
      </c>
      <c r="M47" s="666">
        <f>Forecast_Landfill!M46</f>
        <v>2800980.847897246</v>
      </c>
      <c r="N47" s="666">
        <f>Forecast_Landfill!N46</f>
        <v>3138143.296174414</v>
      </c>
      <c r="O47" s="666">
        <f>Forecast_Landfill!O46</f>
        <v>3217538.3215676271</v>
      </c>
      <c r="P47" s="666">
        <f>Forecast_Landfill!P46</f>
        <v>3298942.0411032881</v>
      </c>
      <c r="Q47" s="666">
        <f>Forecast_Landfill!Q46</f>
        <v>3487248.5018465463</v>
      </c>
      <c r="R47" s="666">
        <f>Forecast_Landfill!R46</f>
        <v>3575475.8889432638</v>
      </c>
      <c r="S47" s="666">
        <f>Forecast_Landfill!S46</f>
        <v>3665935.4289335287</v>
      </c>
      <c r="T47" s="666">
        <f>Forecast_Landfill!T46</f>
        <v>4107215.049025591</v>
      </c>
      <c r="U47" s="666">
        <f>Forecast_Landfill!U46</f>
        <v>4211127.5897659389</v>
      </c>
      <c r="V47" s="666">
        <f>Forecast_Landfill!V46</f>
        <v>4317669.1177870175</v>
      </c>
      <c r="W47" s="666">
        <f>Forecast_Landfill!W46</f>
        <v>3785962.9902849603</v>
      </c>
      <c r="X47" s="666">
        <f>Forecast_Landfill!X46</f>
        <v>3881747.85393917</v>
      </c>
      <c r="Y47" s="666">
        <f>Forecast_Landfill!Y46</f>
        <v>3979956.0746438317</v>
      </c>
      <c r="Z47" s="666">
        <f>Forecast_Landfill!Z46</f>
        <v>4459035.2997552361</v>
      </c>
      <c r="AA47" s="666">
        <f>Forecast_Landfill!AA46</f>
        <v>4571848.8928390443</v>
      </c>
      <c r="AB47" s="666">
        <f>Forecast_Landfill!AB46</f>
        <v>4687516.6698278729</v>
      </c>
      <c r="AC47" s="666">
        <f>Forecast_Landfill!AC46</f>
        <v>5073840.6916591628</v>
      </c>
      <c r="AD47" s="666">
        <f>Forecast_Landfill!AD46</f>
        <v>5202208.86115814</v>
      </c>
      <c r="AE47" s="666">
        <f>Forecast_Landfill!AE46</f>
        <v>5333824.7453454407</v>
      </c>
      <c r="AF47" s="666">
        <f>Forecast_Landfill!AF46</f>
        <v>5975873.1946135182</v>
      </c>
      <c r="AG47" s="666">
        <f>Forecast_Landfill!AG46</f>
        <v>6127062.7864372414</v>
      </c>
      <c r="AH47" s="666">
        <f>Forecast_Landfill!AH46</f>
        <v>6282077.4749341039</v>
      </c>
      <c r="AI47" s="666">
        <f>Forecast_Landfill!AI46</f>
        <v>5889208.0779500958</v>
      </c>
      <c r="AJ47" s="666">
        <f>Forecast_Landfill!AJ46</f>
        <v>6038205.0423222333</v>
      </c>
      <c r="AK47" s="666">
        <f>Forecast_Landfill!AK46</f>
        <v>6190971.6298929863</v>
      </c>
      <c r="AL47" s="666">
        <f>Forecast_Landfill!AL46</f>
        <v>6936197.4151803916</v>
      </c>
      <c r="AM47" s="666">
        <f>Forecast_Landfill!AM46</f>
        <v>7111683.2097844565</v>
      </c>
      <c r="AN47" s="666">
        <f>Forecast_Landfill!AN46</f>
        <v>7291608.7949920045</v>
      </c>
      <c r="AO47" s="666">
        <f>Forecast_Landfill!AO46</f>
        <v>7962709.6230013818</v>
      </c>
      <c r="AP47" s="666">
        <f>Forecast_Landfill!AP46</f>
        <v>8164166.1764633181</v>
      </c>
      <c r="AQ47" s="666">
        <f>Forecast_Landfill!AQ46</f>
        <v>8370719.5807278408</v>
      </c>
      <c r="AR47" s="666">
        <f>Forecast_Landfill!AR46</f>
        <v>9378328.1510608289</v>
      </c>
      <c r="AS47" s="666">
        <f>Forecast_Landfill!AS46</f>
        <v>9615599.8532826696</v>
      </c>
      <c r="AT47" s="666">
        <f>Forecast_Landfill!AT46</f>
        <v>9858874.5295707211</v>
      </c>
      <c r="AU47" s="666">
        <f>Forecast_Landfill!AU46</f>
        <v>5094348.6628988218</v>
      </c>
    </row>
    <row r="48" spans="1:105" s="665" customFormat="1" x14ac:dyDescent="0.25">
      <c r="C48" s="608" t="s">
        <v>51</v>
      </c>
      <c r="D48" s="664" t="str">
        <f>Forecast_Landfill!D47</f>
        <v>--</v>
      </c>
      <c r="E48" s="666">
        <f>Forecast_Landfill!E47</f>
        <v>83579.186831382773</v>
      </c>
      <c r="F48" s="666">
        <f>Forecast_Landfill!F47</f>
        <v>504183.08664163348</v>
      </c>
      <c r="G48" s="666">
        <f>Forecast_Landfill!G47</f>
        <v>506905.67530949827</v>
      </c>
      <c r="H48" s="666">
        <f>Forecast_Landfill!H47</f>
        <v>556900.62926038739</v>
      </c>
      <c r="I48" s="666">
        <f>Forecast_Landfill!I47</f>
        <v>559907.89265839348</v>
      </c>
      <c r="J48" s="666">
        <f>Forecast_Landfill!J47</f>
        <v>562931.39527874882</v>
      </c>
      <c r="K48" s="666">
        <f>Forecast_Landfill!K47</f>
        <v>513985.84608292335</v>
      </c>
      <c r="L48" s="666">
        <f>Forecast_Landfill!L47</f>
        <v>516761.36965177121</v>
      </c>
      <c r="M48" s="666">
        <f>Forecast_Landfill!M47</f>
        <v>519551.88104789081</v>
      </c>
      <c r="N48" s="666">
        <f>Forecast_Landfill!N47</f>
        <v>570794.10151075642</v>
      </c>
      <c r="O48" s="666">
        <f>Forecast_Landfill!O47</f>
        <v>573876.38965891453</v>
      </c>
      <c r="P48" s="666">
        <f>Forecast_Landfill!P47</f>
        <v>576975.32216307276</v>
      </c>
      <c r="Q48" s="666">
        <f>Forecast_Landfill!Q47</f>
        <v>598071.86533535423</v>
      </c>
      <c r="R48" s="666">
        <f>Forecast_Landfill!R47</f>
        <v>601301.45340816514</v>
      </c>
      <c r="S48" s="666">
        <f>Forecast_Landfill!S47</f>
        <v>604548.48125656939</v>
      </c>
      <c r="T48" s="666">
        <f>Forecast_Landfill!T47</f>
        <v>664173.72309874883</v>
      </c>
      <c r="U48" s="666">
        <f>Forecast_Landfill!U47</f>
        <v>667760.26120348205</v>
      </c>
      <c r="V48" s="666">
        <f>Forecast_Landfill!V47</f>
        <v>671366.16661398101</v>
      </c>
      <c r="W48" s="666">
        <f>Forecast_Landfill!W47</f>
        <v>577263.87672619103</v>
      </c>
      <c r="X48" s="666">
        <f>Forecast_Landfill!X47</f>
        <v>580381.1016605125</v>
      </c>
      <c r="Y48" s="666">
        <f>Forecast_Landfill!Y47</f>
        <v>583515.15960947936</v>
      </c>
      <c r="Z48" s="666">
        <f>Forecast_Landfill!Z47</f>
        <v>641065.93277158646</v>
      </c>
      <c r="AA48" s="666">
        <f>Forecast_Landfill!AA47</f>
        <v>644527.68880855292</v>
      </c>
      <c r="AB48" s="666">
        <f>Forecast_Landfill!AB47</f>
        <v>648008.1383281193</v>
      </c>
      <c r="AC48" s="666">
        <f>Forecast_Landfill!AC47</f>
        <v>687800.33920747961</v>
      </c>
      <c r="AD48" s="666">
        <f>Forecast_Landfill!AD47</f>
        <v>691514.46103920008</v>
      </c>
      <c r="AE48" s="666">
        <f>Forecast_Landfill!AE47</f>
        <v>695248.63912881177</v>
      </c>
      <c r="AF48" s="666">
        <f>Forecast_Landfill!AF47</f>
        <v>763819.4312716315</v>
      </c>
      <c r="AG48" s="666">
        <f>Forecast_Landfill!AG47</f>
        <v>767944.05620049837</v>
      </c>
      <c r="AH48" s="666">
        <f>Forecast_Landfill!AH47</f>
        <v>772090.95410398103</v>
      </c>
      <c r="AI48" s="666">
        <f>Forecast_Landfill!AI47</f>
        <v>709757.51365810435</v>
      </c>
      <c r="AJ48" s="666">
        <f>Forecast_Landfill!AJ47</f>
        <v>713590.20423185814</v>
      </c>
      <c r="AK48" s="666">
        <f>Forecast_Landfill!AK47</f>
        <v>717443.59133471025</v>
      </c>
      <c r="AL48" s="666">
        <f>Forecast_Landfill!AL47</f>
        <v>788203.42113783746</v>
      </c>
      <c r="AM48" s="666">
        <f>Forecast_Landfill!AM47</f>
        <v>792459.71961198177</v>
      </c>
      <c r="AN48" s="666">
        <f>Forecast_Landfill!AN47</f>
        <v>796739.00209788664</v>
      </c>
      <c r="AO48" s="666">
        <f>Forecast_Landfill!AO47</f>
        <v>853181.67577067588</v>
      </c>
      <c r="AP48" s="666">
        <f>Forecast_Landfill!AP47</f>
        <v>857788.8568198377</v>
      </c>
      <c r="AQ48" s="666">
        <f>Forecast_Landfill!AQ47</f>
        <v>862420.91664666496</v>
      </c>
      <c r="AR48" s="666">
        <f>Forecast_Landfill!AR47</f>
        <v>947479.53033787676</v>
      </c>
      <c r="AS48" s="666">
        <f>Forecast_Landfill!AS47</f>
        <v>952595.91980170133</v>
      </c>
      <c r="AT48" s="666">
        <f>Forecast_Landfill!AT47</f>
        <v>957739.93776863068</v>
      </c>
      <c r="AU48" s="666">
        <f>Forecast_Landfill!AU47</f>
        <v>485284.97707718698</v>
      </c>
    </row>
    <row r="49" spans="3:47" s="665" customFormat="1" x14ac:dyDescent="0.25">
      <c r="C49" s="608" t="s">
        <v>52</v>
      </c>
      <c r="D49" s="664" t="str">
        <f>Forecast_Landfill!D48</f>
        <v>--</v>
      </c>
      <c r="E49" s="666">
        <f>Forecast_Landfill!E48</f>
        <v>5455.6324612500002</v>
      </c>
      <c r="F49" s="666">
        <f>Forecast_Landfill!F48</f>
        <v>32733.794767500003</v>
      </c>
      <c r="G49" s="666">
        <f>Forecast_Landfill!G48</f>
        <v>32733.794767500003</v>
      </c>
      <c r="H49" s="666">
        <f>Forecast_Landfill!H48</f>
        <v>35769.101354905972</v>
      </c>
      <c r="I49" s="666">
        <f>Forecast_Landfill!I48</f>
        <v>35769.101354905972</v>
      </c>
      <c r="J49" s="666">
        <f>Forecast_Landfill!J48</f>
        <v>35769.101354905972</v>
      </c>
      <c r="K49" s="666">
        <f>Forecast_Landfill!K48</f>
        <v>32483.651142500003</v>
      </c>
      <c r="L49" s="666">
        <f>Forecast_Landfill!L48</f>
        <v>32483.651142500003</v>
      </c>
      <c r="M49" s="666">
        <f>Forecast_Landfill!M48</f>
        <v>32483.651142500003</v>
      </c>
      <c r="N49" s="666">
        <f>Forecast_Landfill!N48</f>
        <v>35495.7626619906</v>
      </c>
      <c r="O49" s="666">
        <f>Forecast_Landfill!O48</f>
        <v>35495.7626619906</v>
      </c>
      <c r="P49" s="666">
        <f>Forecast_Landfill!P48</f>
        <v>35495.7626619906</v>
      </c>
      <c r="Q49" s="666">
        <f>Forecast_Landfill!Q48</f>
        <v>36596.012337500004</v>
      </c>
      <c r="R49" s="666">
        <f>Forecast_Landfill!R48</f>
        <v>36596.012337500004</v>
      </c>
      <c r="S49" s="666">
        <f>Forecast_Landfill!S48</f>
        <v>36596.012337500004</v>
      </c>
      <c r="T49" s="666">
        <f>Forecast_Landfill!T48</f>
        <v>39989.450773519369</v>
      </c>
      <c r="U49" s="666">
        <f>Forecast_Landfill!U48</f>
        <v>39989.450773519369</v>
      </c>
      <c r="V49" s="666">
        <f>Forecast_Landfill!V48</f>
        <v>39989.450773519369</v>
      </c>
      <c r="W49" s="666">
        <f>Forecast_Landfill!W48</f>
        <v>34199.636409999999</v>
      </c>
      <c r="X49" s="666">
        <f>Forecast_Landfill!X48</f>
        <v>34199.636409999999</v>
      </c>
      <c r="Y49" s="666">
        <f>Forecast_Landfill!Y48</f>
        <v>34199.636409999999</v>
      </c>
      <c r="Z49" s="666">
        <f>Forecast_Landfill!Z48</f>
        <v>37370.866095390062</v>
      </c>
      <c r="AA49" s="666">
        <f>Forecast_Landfill!AA48</f>
        <v>37370.866095390062</v>
      </c>
      <c r="AB49" s="666">
        <f>Forecast_Landfill!AB48</f>
        <v>37370.866095390062</v>
      </c>
      <c r="AC49" s="666">
        <f>Forecast_Landfill!AC48</f>
        <v>39452.652535000001</v>
      </c>
      <c r="AD49" s="666">
        <f>Forecast_Landfill!AD48</f>
        <v>39452.652535000001</v>
      </c>
      <c r="AE49" s="666">
        <f>Forecast_Landfill!AE48</f>
        <v>39452.652535000001</v>
      </c>
      <c r="AF49" s="666">
        <f>Forecast_Landfill!AF48</f>
        <v>43110.978646612944</v>
      </c>
      <c r="AG49" s="666">
        <f>Forecast_Landfill!AG48</f>
        <v>43110.978646612944</v>
      </c>
      <c r="AH49" s="666">
        <f>Forecast_Landfill!AH48</f>
        <v>43110.978646612944</v>
      </c>
      <c r="AI49" s="666">
        <f>Forecast_Landfill!AI48</f>
        <v>39417.632427500001</v>
      </c>
      <c r="AJ49" s="666">
        <f>Forecast_Landfill!AJ48</f>
        <v>39417.632427500001</v>
      </c>
      <c r="AK49" s="666">
        <f>Forecast_Landfill!AK48</f>
        <v>39417.632427500001</v>
      </c>
      <c r="AL49" s="666">
        <f>Forecast_Landfill!AL48</f>
        <v>43072.711229604793</v>
      </c>
      <c r="AM49" s="666">
        <f>Forecast_Landfill!AM48</f>
        <v>43072.711229604793</v>
      </c>
      <c r="AN49" s="666">
        <f>Forecast_Landfill!AN48</f>
        <v>43072.711229604793</v>
      </c>
      <c r="AO49" s="666">
        <f>Forecast_Landfill!AO48</f>
        <v>45876.340824999999</v>
      </c>
      <c r="AP49" s="666">
        <f>Forecast_Landfill!AP48</f>
        <v>45876.340824999999</v>
      </c>
      <c r="AQ49" s="666">
        <f>Forecast_Landfill!AQ48</f>
        <v>45876.340824999999</v>
      </c>
      <c r="AR49" s="666">
        <f>Forecast_Landfill!AR48</f>
        <v>50130.31628067977</v>
      </c>
      <c r="AS49" s="666">
        <f>Forecast_Landfill!AS48</f>
        <v>50130.31628067977</v>
      </c>
      <c r="AT49" s="666">
        <f>Forecast_Landfill!AT48</f>
        <v>50130.31628067977</v>
      </c>
      <c r="AU49" s="666">
        <f>Forecast_Landfill!AU48</f>
        <v>25264.506125</v>
      </c>
    </row>
    <row r="50" spans="3:47" s="665" customFormat="1" x14ac:dyDescent="0.25">
      <c r="C50" s="608" t="s">
        <v>54</v>
      </c>
      <c r="D50" s="664" t="str">
        <f>Forecast_Landfill!D49</f>
        <v>--</v>
      </c>
      <c r="E50" s="664" t="str">
        <f>Forecast_Landfill!E49</f>
        <v>--</v>
      </c>
      <c r="F50" s="666">
        <f>Forecast_Landfill!F49</f>
        <v>194651.48988165052</v>
      </c>
      <c r="G50" s="666">
        <f>Forecast_Landfill!G49</f>
        <v>806168.61049384368</v>
      </c>
      <c r="H50" s="666">
        <f>Forecast_Landfill!H49</f>
        <v>912106.85337537073</v>
      </c>
      <c r="I50" s="666">
        <f>Forecast_Landfill!I49</f>
        <v>944395.43598485901</v>
      </c>
      <c r="J50" s="666">
        <f>Forecast_Landfill!J49</f>
        <v>977827.03441872308</v>
      </c>
      <c r="K50" s="666">
        <f>Forecast_Landfill!K49</f>
        <v>919447.65465542162</v>
      </c>
      <c r="L50" s="666">
        <f>Forecast_Landfill!L49</f>
        <v>951996.10163022368</v>
      </c>
      <c r="M50" s="666">
        <f>Forecast_Landfill!M49</f>
        <v>985696.76362793357</v>
      </c>
      <c r="N50" s="666">
        <f>Forecast_Landfill!N49</f>
        <v>1115226.7177758429</v>
      </c>
      <c r="O50" s="666">
        <f>Forecast_Landfill!O49</f>
        <v>1154705.7435851076</v>
      </c>
      <c r="P50" s="666">
        <f>Forecast_Landfill!P49</f>
        <v>1195582.3269080205</v>
      </c>
      <c r="Q50" s="666">
        <f>Forecast_Landfill!Q49</f>
        <v>1276276.8765151398</v>
      </c>
      <c r="R50" s="666">
        <f>Forecast_Landfill!R49</f>
        <v>1321457.077943776</v>
      </c>
      <c r="S50" s="666">
        <f>Forecast_Landfill!S49</f>
        <v>1368236.658502986</v>
      </c>
      <c r="T50" s="666">
        <f>Forecast_Landfill!T49</f>
        <v>1548036.0026614068</v>
      </c>
      <c r="U50" s="666">
        <f>Forecast_Landfill!U49</f>
        <v>1602836.4771556207</v>
      </c>
      <c r="V50" s="666">
        <f>Forecast_Landfill!V49</f>
        <v>1659576.8884469299</v>
      </c>
      <c r="W50" s="666">
        <f>Forecast_Landfill!W49</f>
        <v>1469540.5970663286</v>
      </c>
      <c r="X50" s="666">
        <f>Forecast_Landfill!X49</f>
        <v>1521562.3342024765</v>
      </c>
      <c r="Y50" s="666">
        <f>Forecast_Landfill!Y49</f>
        <v>1575425.6408332444</v>
      </c>
      <c r="Z50" s="666">
        <f>Forecast_Landfill!Z49</f>
        <v>1782451.5929825585</v>
      </c>
      <c r="AA50" s="666">
        <f>Forecast_Landfill!AA49</f>
        <v>1845550.3793741411</v>
      </c>
      <c r="AB50" s="666">
        <f>Forecast_Landfill!AB49</f>
        <v>1910882.8628039861</v>
      </c>
      <c r="AC50" s="666">
        <f>Forecast_Landfill!AC49</f>
        <v>2088744.2666659106</v>
      </c>
      <c r="AD50" s="666">
        <f>Forecast_Landfill!AD49</f>
        <v>2162685.8137058839</v>
      </c>
      <c r="AE50" s="666">
        <f>Forecast_Landfill!AE49</f>
        <v>2239244.8915110729</v>
      </c>
      <c r="AF50" s="666">
        <f>Forecast_Landfill!AF49</f>
        <v>2533503.0232470646</v>
      </c>
      <c r="AG50" s="666">
        <f>Forecast_Landfill!AG49</f>
        <v>2623189.0302700107</v>
      </c>
      <c r="AH50" s="666">
        <f>Forecast_Landfill!AH49</f>
        <v>2716049.9219415695</v>
      </c>
      <c r="AI50" s="666">
        <f>Forecast_Landfill!AI49</f>
        <v>2571275.2081367378</v>
      </c>
      <c r="AJ50" s="666">
        <f>Forecast_Landfill!AJ49</f>
        <v>2662298.3505047783</v>
      </c>
      <c r="AK50" s="666">
        <f>Forecast_Landfill!AK49</f>
        <v>2756543.7121126475</v>
      </c>
      <c r="AL50" s="666">
        <f>Forecast_Landfill!AL49</f>
        <v>3118779.8417337798</v>
      </c>
      <c r="AM50" s="666">
        <f>Forecast_Landfill!AM49</f>
        <v>3229184.6481311563</v>
      </c>
      <c r="AN50" s="666">
        <f>Forecast_Landfill!AN49</f>
        <v>3343497.7846749998</v>
      </c>
      <c r="AO50" s="666">
        <f>Forecast_Landfill!AO49</f>
        <v>3687192.0735488678</v>
      </c>
      <c r="AP50" s="666">
        <f>Forecast_Landfill!AP49</f>
        <v>3817718.6729524983</v>
      </c>
      <c r="AQ50" s="666">
        <f>Forecast_Landfill!AQ49</f>
        <v>3952865.9139750167</v>
      </c>
      <c r="AR50" s="666">
        <f>Forecast_Landfill!AR49</f>
        <v>4472310.1888101166</v>
      </c>
      <c r="AS50" s="666">
        <f>Forecast_Landfill!AS49</f>
        <v>4630629.9694939945</v>
      </c>
      <c r="AT50" s="666">
        <f>Forecast_Landfill!AT49</f>
        <v>4794554.2704140823</v>
      </c>
      <c r="AU50" s="666">
        <f>Forecast_Landfill!AU49</f>
        <v>2501881.6846913509</v>
      </c>
    </row>
    <row r="52" spans="3:47" s="667" customFormat="1" ht="13" x14ac:dyDescent="0.3">
      <c r="C52" s="668" t="s">
        <v>533</v>
      </c>
      <c r="D52" s="670" t="s">
        <v>63</v>
      </c>
      <c r="E52" s="671">
        <f t="shared" ref="E52" si="13">SUM(E53:E56)</f>
        <v>100054.68524770527</v>
      </c>
      <c r="F52" s="671">
        <f t="shared" ref="F52" si="14">SUM(F53:F56)</f>
        <v>628382.70645752968</v>
      </c>
      <c r="G52" s="671">
        <f t="shared" ref="G52" si="15">SUM(G53:G56)</f>
        <v>718814.15807551693</v>
      </c>
      <c r="H52" s="671">
        <f t="shared" ref="H52" si="16">SUM(H53:H56)</f>
        <v>763013.48316879966</v>
      </c>
      <c r="I52" s="671">
        <f t="shared" ref="I52" si="17">SUM(I53:I56)</f>
        <v>783475.67415094678</v>
      </c>
      <c r="J52" s="671">
        <f t="shared" ref="J52" si="18">SUM(J53:J56)</f>
        <v>804567.74853996467</v>
      </c>
      <c r="K52" s="671">
        <f t="shared" ref="K52" si="19">SUM(K53:K56)</f>
        <v>855625.44011829945</v>
      </c>
      <c r="L52" s="671">
        <f t="shared" ref="L52" si="20">SUM(L53:L56)</f>
        <v>878737.01773965789</v>
      </c>
      <c r="M52" s="671">
        <f t="shared" ref="M52" si="21">SUM(M53:M56)</f>
        <v>902534.71281333652</v>
      </c>
      <c r="N52" s="671">
        <f t="shared" ref="N52" si="22">SUM(N53:N56)</f>
        <v>961481.98544752831</v>
      </c>
      <c r="O52" s="671">
        <f t="shared" ref="O52" si="23">SUM(O53:O56)</f>
        <v>987506.05092628323</v>
      </c>
      <c r="P52" s="671">
        <f t="shared" ref="P52" si="24">SUM(P53:P56)</f>
        <v>1014286.7471815533</v>
      </c>
      <c r="Q52" s="671">
        <f t="shared" ref="Q52" si="25">SUM(Q53:Q56)</f>
        <v>1082586.0533485387</v>
      </c>
      <c r="R52" s="671">
        <f t="shared" ref="R52" si="26">SUM(R53:R56)</f>
        <v>1112023.3950304601</v>
      </c>
      <c r="S52" s="671">
        <f t="shared" ref="S52" si="27">SUM(S53:S56)</f>
        <v>1142299.0412565032</v>
      </c>
      <c r="T52" s="671">
        <f t="shared" ref="T52" si="28">SUM(T53:T56)</f>
        <v>1221354.0239161495</v>
      </c>
      <c r="U52" s="671">
        <f t="shared" ref="U52" si="29">SUM(U53:U56)</f>
        <v>1254650.1744924714</v>
      </c>
      <c r="V52" s="671">
        <f t="shared" ref="V52" si="30">SUM(V53:V56)</f>
        <v>1288942.8526165755</v>
      </c>
      <c r="W52" s="671">
        <f t="shared" ref="W52" si="31">SUM(W53:W56)</f>
        <v>1380725.5717406301</v>
      </c>
      <c r="X52" s="671">
        <f t="shared" ref="X52" si="32">SUM(X53:X56)</f>
        <v>1418466.7131464276</v>
      </c>
      <c r="Y52" s="671">
        <f t="shared" ref="Y52" si="33">SUM(Y53:Y56)</f>
        <v>1457371.6635910997</v>
      </c>
      <c r="Z52" s="671">
        <f t="shared" ref="Z52" si="34">SUM(Z53:Z56)</f>
        <v>1310770.2031863779</v>
      </c>
      <c r="AA52" s="671">
        <f t="shared" ref="AA52" si="35">SUM(AA53:AA56)</f>
        <v>1347182.121460143</v>
      </c>
      <c r="AB52" s="671">
        <f t="shared" ref="AB52" si="36">SUM(AB53:AB56)</f>
        <v>1384585.0305810121</v>
      </c>
      <c r="AC52" s="671">
        <f t="shared" ref="AC52" si="37">SUM(AC53:AC56)</f>
        <v>1476275.4940787836</v>
      </c>
      <c r="AD52" s="671">
        <f t="shared" ref="AD52" si="38">SUM(AD53:AD56)</f>
        <v>1517412.853775912</v>
      </c>
      <c r="AE52" s="671">
        <f t="shared" ref="AE52" si="39">SUM(AE53:AE56)</f>
        <v>1559711.9347930697</v>
      </c>
      <c r="AF52" s="671">
        <f t="shared" ref="AF52" si="40">SUM(AF53:AF56)</f>
        <v>1666090.0066005548</v>
      </c>
      <c r="AG52" s="671">
        <f t="shared" ref="AG52" si="41">SUM(AG53:AG56)</f>
        <v>1712628.4982746728</v>
      </c>
      <c r="AH52" s="671">
        <f t="shared" ref="AH52" si="42">SUM(AH53:AH56)</f>
        <v>1760519.2387750018</v>
      </c>
      <c r="AI52" s="671">
        <f t="shared" ref="AI52" si="43">SUM(AI53:AI56)</f>
        <v>1884013.1549034603</v>
      </c>
      <c r="AJ52" s="671">
        <f t="shared" ref="AJ52" si="44">SUM(AJ53:AJ56)</f>
        <v>1656346.1499068844</v>
      </c>
      <c r="AK52" s="671">
        <f t="shared" ref="AK52" si="45">SUM(AK53:AK56)</f>
        <v>1703252.0059335614</v>
      </c>
      <c r="AL52" s="671">
        <f t="shared" ref="AL52" si="46">SUM(AL53:AL56)</f>
        <v>1811816.730375004</v>
      </c>
      <c r="AM52" s="671">
        <f t="shared" ref="AM52" si="47">SUM(AM53:AM56)</f>
        <v>1863080.5761768583</v>
      </c>
      <c r="AN52" s="671">
        <f t="shared" ref="AN52" si="48">SUM(AN53:AN56)</f>
        <v>1915962.587289439</v>
      </c>
      <c r="AO52" s="671">
        <f t="shared" ref="AO52" si="49">SUM(AO53:AO56)</f>
        <v>2041591.0594470005</v>
      </c>
      <c r="AP52" s="671">
        <f t="shared" ref="AP52" si="50">SUM(AP53:AP56)</f>
        <v>2099607.9316078611</v>
      </c>
      <c r="AQ52" s="671">
        <f t="shared" ref="AQ52" si="51">SUM(AQ53:AQ56)</f>
        <v>2159284.069419038</v>
      </c>
      <c r="AR52" s="671">
        <f t="shared" ref="AR52" si="52">SUM(AR53:AR56)</f>
        <v>2304987.5236401702</v>
      </c>
      <c r="AS52" s="671">
        <f t="shared" ref="AS52" si="53">SUM(AS53:AS56)</f>
        <v>2360492.7996224249</v>
      </c>
      <c r="AT52" s="671">
        <f t="shared" ref="AT52" si="54">SUM(AT53:AT56)</f>
        <v>1389891.6817974618</v>
      </c>
      <c r="AU52" s="671">
        <f t="shared" ref="AU52" si="55">SUM(AU53:AU56)</f>
        <v>1430975.442066665</v>
      </c>
    </row>
    <row r="53" spans="3:47" s="665" customFormat="1" x14ac:dyDescent="0.25">
      <c r="C53" s="608" t="s">
        <v>50</v>
      </c>
      <c r="D53" s="664">
        <f>Forecast_Hauling!D5</f>
        <v>0</v>
      </c>
      <c r="E53" s="666">
        <f>Forecast_Hauling!E5</f>
        <v>66393.452544438289</v>
      </c>
      <c r="F53" s="666">
        <f>Forecast_Hauling!F5</f>
        <v>382142.25569248002</v>
      </c>
      <c r="G53" s="666">
        <f>Forecast_Hauling!G5</f>
        <v>340761.58614649333</v>
      </c>
      <c r="H53" s="666">
        <f>Forecast_Hauling!H5</f>
        <v>362474.72452750022</v>
      </c>
      <c r="I53" s="666">
        <f>Forecast_Hauling!I5</f>
        <v>372868.58595791314</v>
      </c>
      <c r="J53" s="666">
        <f>Forecast_Hauling!J5</f>
        <v>383478.67024819576</v>
      </c>
      <c r="K53" s="666">
        <f>Forecast_Hauling!K5</f>
        <v>408310.74004494521</v>
      </c>
      <c r="L53" s="666">
        <f>Forecast_Hauling!L5</f>
        <v>419741.79503507336</v>
      </c>
      <c r="M53" s="666">
        <f>Forecast_Hauling!M5</f>
        <v>431417.95069457346</v>
      </c>
      <c r="N53" s="666">
        <f>Forecast_Hauling!N5</f>
        <v>460147.6136922845</v>
      </c>
      <c r="O53" s="666">
        <f>Forecast_Hauling!O5</f>
        <v>473054.04337604018</v>
      </c>
      <c r="P53" s="666">
        <f>Forecast_Hauling!P5</f>
        <v>486235.69856723741</v>
      </c>
      <c r="Q53" s="666">
        <f>Forecast_Hauling!Q5</f>
        <v>519024.32053590933</v>
      </c>
      <c r="R53" s="666">
        <f>Forecast_Hauling!R5</f>
        <v>533433.21252945368</v>
      </c>
      <c r="S53" s="666">
        <f>Forecast_Hauling!S5</f>
        <v>548151.46266334841</v>
      </c>
      <c r="T53" s="666">
        <f>Forecast_Hauling!T5</f>
        <v>586318.20140731288</v>
      </c>
      <c r="U53" s="666">
        <f>Forecast_Hauling!U5</f>
        <v>602429.28816637467</v>
      </c>
      <c r="V53" s="666">
        <f>Forecast_Hauling!V5</f>
        <v>619051.49813761259</v>
      </c>
      <c r="W53" s="666">
        <f>Forecast_Hauling!W5</f>
        <v>662948.37005156255</v>
      </c>
      <c r="X53" s="666">
        <f>Forecast_Hauling!X5</f>
        <v>681163.71323911555</v>
      </c>
      <c r="Y53" s="666">
        <f>Forecast_Hauling!Y5</f>
        <v>699593.37223790446</v>
      </c>
      <c r="Z53" s="666">
        <f>Forecast_Hauling!Z5</f>
        <v>628812.89139359328</v>
      </c>
      <c r="AA53" s="666">
        <f>Forecast_Hauling!AA5</f>
        <v>645801.51581214857</v>
      </c>
      <c r="AB53" s="666">
        <f>Forecast_Hauling!AB5</f>
        <v>663626.6581964019</v>
      </c>
      <c r="AC53" s="666">
        <f>Forecast_Hauling!AC5</f>
        <v>707152.96355507476</v>
      </c>
      <c r="AD53" s="666">
        <f>Forecast_Hauling!AD5</f>
        <v>726259.06558420032</v>
      </c>
      <c r="AE53" s="666">
        <f>Forecast_Hauling!AE5</f>
        <v>745951.5593280514</v>
      </c>
      <c r="AF53" s="666">
        <f>Forecast_Hauling!AF5</f>
        <v>796072.32911845564</v>
      </c>
      <c r="AG53" s="666">
        <f>Forecast_Hauling!AG5</f>
        <v>817235.13700133504</v>
      </c>
      <c r="AH53" s="666">
        <f>Forecast_Hauling!AH5</f>
        <v>839216.75414085668</v>
      </c>
      <c r="AI53" s="666">
        <f>Forecast_Hauling!AI5</f>
        <v>896998.27663751692</v>
      </c>
      <c r="AJ53" s="666">
        <f>Forecast_Hauling!AJ5</f>
        <v>787729.58212818962</v>
      </c>
      <c r="AK53" s="666">
        <f>Forecast_Hauling!AK5</f>
        <v>808808.08343233122</v>
      </c>
      <c r="AL53" s="666">
        <f>Forecast_Hauling!AL5</f>
        <v>858936.03381868324</v>
      </c>
      <c r="AM53" s="666">
        <f>Forecast_Hauling!AM5</f>
        <v>882016.41690363048</v>
      </c>
      <c r="AN53" s="666">
        <f>Forecast_Hauling!AN5</f>
        <v>905472.69677124172</v>
      </c>
      <c r="AO53" s="666">
        <f>Forecast_Hauling!AO5</f>
        <v>963415.79767540016</v>
      </c>
      <c r="AP53" s="666">
        <f>Forecast_Hauling!AP5</f>
        <v>988645.7118011117</v>
      </c>
      <c r="AQ53" s="666">
        <f>Forecast_Hauling!AQ5</f>
        <v>1014959.7503767727</v>
      </c>
      <c r="AR53" s="666">
        <f>Forecast_Hauling!AR5</f>
        <v>1081455.7187219015</v>
      </c>
      <c r="AS53" s="666">
        <f>Forecast_Hauling!AS5</f>
        <v>1104922.5716987054</v>
      </c>
      <c r="AT53" s="666">
        <f>Forecast_Hauling!AT5</f>
        <v>649342.69097973965</v>
      </c>
      <c r="AU53" s="666">
        <f>Forecast_Hauling!AU5</f>
        <v>667083.78147122625</v>
      </c>
    </row>
    <row r="54" spans="3:47" s="665" customFormat="1" x14ac:dyDescent="0.25">
      <c r="C54" s="608" t="s">
        <v>51</v>
      </c>
      <c r="D54" s="664">
        <f>Forecast_Hauling!D6</f>
        <v>0</v>
      </c>
      <c r="E54" s="666">
        <f>Forecast_Hauling!E6</f>
        <v>28867.526334853254</v>
      </c>
      <c r="F54" s="666">
        <f>Forecast_Hauling!F6</f>
        <v>160844.30188367909</v>
      </c>
      <c r="G54" s="666">
        <f>Forecast_Hauling!G6</f>
        <v>140740.79314080658</v>
      </c>
      <c r="H54" s="666">
        <f>Forecast_Hauling!H6</f>
        <v>146816.92156807831</v>
      </c>
      <c r="I54" s="666">
        <f>Forecast_Hauling!I6</f>
        <v>147697.97340113166</v>
      </c>
      <c r="J54" s="666">
        <f>Forecast_Hauling!J6</f>
        <v>148977.24934010266</v>
      </c>
      <c r="K54" s="666">
        <f>Forecast_Hauling!K6</f>
        <v>155578.20802355628</v>
      </c>
      <c r="L54" s="666">
        <f>Forecast_Hauling!L6</f>
        <v>156871.09062222985</v>
      </c>
      <c r="M54" s="666">
        <f>Forecast_Hauling!M6</f>
        <v>158157.24872734773</v>
      </c>
      <c r="N54" s="666">
        <f>Forecast_Hauling!N6</f>
        <v>165399.15592116749</v>
      </c>
      <c r="O54" s="666">
        <f>Forecast_Hauling!O6</f>
        <v>166738.93245669545</v>
      </c>
      <c r="P54" s="666">
        <f>Forecast_Hauling!P6</f>
        <v>168077.92655061907</v>
      </c>
      <c r="Q54" s="666">
        <f>Forecast_Hauling!Q6</f>
        <v>175970.08227860296</v>
      </c>
      <c r="R54" s="666">
        <f>Forecast_Hauling!R6</f>
        <v>177326.93178887531</v>
      </c>
      <c r="S54" s="666">
        <f>Forecast_Hauling!S6</f>
        <v>178690.63923345151</v>
      </c>
      <c r="T54" s="666">
        <f>Forecast_Hauling!T6</f>
        <v>187378.36184102285</v>
      </c>
      <c r="U54" s="666">
        <f>Forecast_Hauling!U6</f>
        <v>188777.94604127941</v>
      </c>
      <c r="V54" s="666">
        <f>Forecast_Hauling!V6</f>
        <v>190164.25194215059</v>
      </c>
      <c r="W54" s="666">
        <f>Forecast_Hauling!W6</f>
        <v>199674.36213149523</v>
      </c>
      <c r="X54" s="666">
        <f>Forecast_Hauling!X6</f>
        <v>201117.41161419044</v>
      </c>
      <c r="Y54" s="666">
        <f>Forecast_Hauling!Y6</f>
        <v>202530.56333430531</v>
      </c>
      <c r="Z54" s="666">
        <f>Forecast_Hauling!Z6</f>
        <v>178918.58329271097</v>
      </c>
      <c r="AA54" s="666">
        <f>Forecast_Hauling!AA6</f>
        <v>180177.92650449116</v>
      </c>
      <c r="AB54" s="666">
        <f>Forecast_Hauling!AB6</f>
        <v>181462.2315897189</v>
      </c>
      <c r="AC54" s="666">
        <f>Forecast_Hauling!AC6</f>
        <v>189559.30252972487</v>
      </c>
      <c r="AD54" s="666">
        <f>Forecast_Hauling!AD6</f>
        <v>190833.71128942631</v>
      </c>
      <c r="AE54" s="666">
        <f>Forecast_Hauling!AE6</f>
        <v>192121.94673132797</v>
      </c>
      <c r="AF54" s="666">
        <f>Forecast_Hauling!AF6</f>
        <v>200955.87331227618</v>
      </c>
      <c r="AG54" s="666">
        <f>Forecast_Hauling!AG6</f>
        <v>202753.71120189372</v>
      </c>
      <c r="AH54" s="666">
        <f>Forecast_Hauling!AH6</f>
        <v>204055.78167975327</v>
      </c>
      <c r="AI54" s="666">
        <f>Forecast_Hauling!AI6</f>
        <v>213756.43157952599</v>
      </c>
      <c r="AJ54" s="666">
        <f>Forecast_Hauling!AJ6</f>
        <v>183976.91187649482</v>
      </c>
      <c r="AK54" s="666">
        <f>Forecast_Hauling!AK6</f>
        <v>185140.51775432407</v>
      </c>
      <c r="AL54" s="666">
        <f>Forecast_Hauling!AL6</f>
        <v>193172.64993233807</v>
      </c>
      <c r="AM54" s="666">
        <f>Forecast_Hauling!AM6</f>
        <v>194378.33166396187</v>
      </c>
      <c r="AN54" s="666">
        <f>Forecast_Hauling!AN6</f>
        <v>195552.70403840733</v>
      </c>
      <c r="AO54" s="666">
        <f>Forecast_Hauling!AO6</f>
        <v>203865.66432952663</v>
      </c>
      <c r="AP54" s="666">
        <f>Forecast_Hauling!AP6</f>
        <v>205534.24008496795</v>
      </c>
      <c r="AQ54" s="666">
        <f>Forecast_Hauling!AQ6</f>
        <v>206733.84987794844</v>
      </c>
      <c r="AR54" s="666">
        <f>Forecast_Hauling!AR6</f>
        <v>215846.36172140419</v>
      </c>
      <c r="AS54" s="666">
        <f>Forecast_Hauling!AS6</f>
        <v>216621.31138295284</v>
      </c>
      <c r="AT54" s="666">
        <f>Forecast_Hauling!AT6</f>
        <v>124718.65401027695</v>
      </c>
      <c r="AU54" s="666">
        <f>Forecast_Hauling!AU6</f>
        <v>125543.68397149556</v>
      </c>
    </row>
    <row r="55" spans="3:47" s="665" customFormat="1" x14ac:dyDescent="0.25">
      <c r="C55" s="608" t="s">
        <v>52</v>
      </c>
      <c r="D55" s="664">
        <f>Forecast_Hauling!D7</f>
        <v>0</v>
      </c>
      <c r="E55" s="666">
        <f>Forecast_Hauling!E7</f>
        <v>4793.7063684137347</v>
      </c>
      <c r="F55" s="666">
        <f>Forecast_Hauling!F7</f>
        <v>25441.346895373666</v>
      </c>
      <c r="G55" s="666">
        <f>Forecast_Hauling!G7</f>
        <v>22135.371991091823</v>
      </c>
      <c r="H55" s="666">
        <f>Forecast_Hauling!H7</f>
        <v>22960.920591819988</v>
      </c>
      <c r="I55" s="666">
        <f>Forecast_Hauling!I7</f>
        <v>23033.825605794464</v>
      </c>
      <c r="J55" s="666">
        <f>Forecast_Hauling!J7</f>
        <v>23103.536369623445</v>
      </c>
      <c r="K55" s="666">
        <f>Forecast_Hauling!K7</f>
        <v>23993.179338653932</v>
      </c>
      <c r="L55" s="666">
        <f>Forecast_Hauling!L7</f>
        <v>24058.906338523677</v>
      </c>
      <c r="M55" s="666">
        <f>Forecast_Hauling!M7</f>
        <v>24122.88541237123</v>
      </c>
      <c r="N55" s="666">
        <f>Forecast_Hauling!N7</f>
        <v>25089.60012001939</v>
      </c>
      <c r="O55" s="666">
        <f>Forecast_Hauling!O7</f>
        <v>25155.371414249661</v>
      </c>
      <c r="P55" s="666">
        <f>Forecast_Hauling!P7</f>
        <v>25220.314261067921</v>
      </c>
      <c r="Q55" s="666">
        <f>Forecast_Hauling!Q7</f>
        <v>26262.582716549357</v>
      </c>
      <c r="R55" s="666">
        <f>Forecast_Hauling!R7</f>
        <v>26323.560645299094</v>
      </c>
      <c r="S55" s="666">
        <f>Forecast_Hauling!S7</f>
        <v>26384.902493870126</v>
      </c>
      <c r="T55" s="666">
        <f>Forecast_Hauling!T7</f>
        <v>27521.314548078706</v>
      </c>
      <c r="U55" s="666">
        <f>Forecast_Hauling!U7</f>
        <v>27580.948412293525</v>
      </c>
      <c r="V55" s="666">
        <f>Forecast_Hauling!V7</f>
        <v>27638.028001135677</v>
      </c>
      <c r="W55" s="666">
        <f>Forecast_Hauling!W7</f>
        <v>28869.058290768004</v>
      </c>
      <c r="X55" s="666">
        <f>Forecast_Hauling!X7</f>
        <v>28927.033755487613</v>
      </c>
      <c r="Y55" s="666">
        <f>Forecast_Hauling!Y7</f>
        <v>28980.133458967215</v>
      </c>
      <c r="Z55" s="666">
        <f>Forecast_Hauling!Z7</f>
        <v>25405.06025840365</v>
      </c>
      <c r="AA55" s="666">
        <f>Forecast_Hauling!AA7</f>
        <v>25453.67944241628</v>
      </c>
      <c r="AB55" s="666">
        <f>Forecast_Hauling!AB7</f>
        <v>25505.314781365396</v>
      </c>
      <c r="AC55" s="666">
        <f>Forecast_Hauling!AC7</f>
        <v>26509.170069679982</v>
      </c>
      <c r="AD55" s="666">
        <f>Forecast_Hauling!AD7</f>
        <v>26553.620053787119</v>
      </c>
      <c r="AE55" s="666">
        <f>Forecast_Hauling!AE7</f>
        <v>26599.540969210026</v>
      </c>
      <c r="AF55" s="666">
        <f>Forecast_Hauling!AF7</f>
        <v>27684.532473148956</v>
      </c>
      <c r="AG55" s="666">
        <f>Forecast_Hauling!AG7</f>
        <v>27725.814595357791</v>
      </c>
      <c r="AH55" s="666">
        <f>Forecast_Hauling!AH7</f>
        <v>27767.084215915791</v>
      </c>
      <c r="AI55" s="666">
        <f>Forecast_Hauling!AI7</f>
        <v>28945.221022161189</v>
      </c>
      <c r="AJ55" s="666">
        <f>Forecast_Hauling!AJ7</f>
        <v>24791.77631468312</v>
      </c>
      <c r="AK55" s="666">
        <f>Forecast_Hauling!AK7</f>
        <v>24828.053289013191</v>
      </c>
      <c r="AL55" s="666">
        <f>Forecast_Hauling!AL7</f>
        <v>25718.824715515733</v>
      </c>
      <c r="AM55" s="666">
        <f>Forecast_Hauling!AM7</f>
        <v>25755.818938344361</v>
      </c>
      <c r="AN55" s="666">
        <f>Forecast_Hauling!AN7</f>
        <v>25788.332779471857</v>
      </c>
      <c r="AO55" s="666">
        <f>Forecast_Hauling!AO7</f>
        <v>26757.482830574372</v>
      </c>
      <c r="AP55" s="666">
        <f>Forecast_Hauling!AP7</f>
        <v>26786.509092906326</v>
      </c>
      <c r="AQ55" s="666">
        <f>Forecast_Hauling!AQ7</f>
        <v>26816.948585256177</v>
      </c>
      <c r="AR55" s="666">
        <f>Forecast_Hauling!AR7</f>
        <v>27868.77075390282</v>
      </c>
      <c r="AS55" s="666">
        <f>Forecast_Hauling!AS7</f>
        <v>27775.048140019037</v>
      </c>
      <c r="AT55" s="666">
        <f>Forecast_Hauling!AT7</f>
        <v>15917.823846619371</v>
      </c>
      <c r="AU55" s="666">
        <f>Forecast_Hauling!AU7</f>
        <v>15949.789934217175</v>
      </c>
    </row>
    <row r="56" spans="3:47" s="665" customFormat="1" x14ac:dyDescent="0.25">
      <c r="C56" s="608" t="s">
        <v>54</v>
      </c>
      <c r="D56" s="664">
        <f>Forecast_Hauling!D8</f>
        <v>0</v>
      </c>
      <c r="E56" s="664">
        <f>Forecast_Hauling!E8</f>
        <v>0</v>
      </c>
      <c r="F56" s="666">
        <f>Forecast_Hauling!F8</f>
        <v>59954.801985996863</v>
      </c>
      <c r="G56" s="666">
        <f>Forecast_Hauling!G8</f>
        <v>215176.40679712515</v>
      </c>
      <c r="H56" s="666">
        <f>Forecast_Hauling!H8</f>
        <v>230760.91648140104</v>
      </c>
      <c r="I56" s="666">
        <f>Forecast_Hauling!I8</f>
        <v>239875.28918610761</v>
      </c>
      <c r="J56" s="666">
        <f>Forecast_Hauling!J8</f>
        <v>249008.29258204272</v>
      </c>
      <c r="K56" s="666">
        <f>Forecast_Hauling!K8</f>
        <v>267743.3127111441</v>
      </c>
      <c r="L56" s="666">
        <f>Forecast_Hauling!L8</f>
        <v>278065.2257438309</v>
      </c>
      <c r="M56" s="666">
        <f>Forecast_Hauling!M8</f>
        <v>288836.6279790441</v>
      </c>
      <c r="N56" s="666">
        <f>Forecast_Hauling!N8</f>
        <v>310845.61571405694</v>
      </c>
      <c r="O56" s="666">
        <f>Forecast_Hauling!O8</f>
        <v>322557.70367929799</v>
      </c>
      <c r="P56" s="666">
        <f>Forecast_Hauling!P8</f>
        <v>334752.80780262884</v>
      </c>
      <c r="Q56" s="666">
        <f>Forecast_Hauling!Q8</f>
        <v>361329.0678174771</v>
      </c>
      <c r="R56" s="666">
        <f>Forecast_Hauling!R8</f>
        <v>374939.690066832</v>
      </c>
      <c r="S56" s="666">
        <f>Forecast_Hauling!S8</f>
        <v>389072.03686583322</v>
      </c>
      <c r="T56" s="666">
        <f>Forecast_Hauling!T8</f>
        <v>420136.14611973503</v>
      </c>
      <c r="U56" s="666">
        <f>Forecast_Hauling!U8</f>
        <v>435861.99187252362</v>
      </c>
      <c r="V56" s="666">
        <f>Forecast_Hauling!V8</f>
        <v>452089.07453567674</v>
      </c>
      <c r="W56" s="666">
        <f>Forecast_Hauling!W8</f>
        <v>489233.78126680438</v>
      </c>
      <c r="X56" s="666">
        <f>Forecast_Hauling!X8</f>
        <v>507258.55453763413</v>
      </c>
      <c r="Y56" s="666">
        <f>Forecast_Hauling!Y8</f>
        <v>526267.5945599227</v>
      </c>
      <c r="Z56" s="666">
        <f>Forecast_Hauling!Z8</f>
        <v>477633.66824167006</v>
      </c>
      <c r="AA56" s="666">
        <f>Forecast_Hauling!AA8</f>
        <v>495748.99970108713</v>
      </c>
      <c r="AB56" s="666">
        <f>Forecast_Hauling!AB8</f>
        <v>513990.82601352589</v>
      </c>
      <c r="AC56" s="666">
        <f>Forecast_Hauling!AC8</f>
        <v>553054.05792430392</v>
      </c>
      <c r="AD56" s="666">
        <f>Forecast_Hauling!AD8</f>
        <v>573766.45684849808</v>
      </c>
      <c r="AE56" s="666">
        <f>Forecast_Hauling!AE8</f>
        <v>595038.88776448043</v>
      </c>
      <c r="AF56" s="666">
        <f>Forecast_Hauling!AF8</f>
        <v>641377.27169667394</v>
      </c>
      <c r="AG56" s="666">
        <f>Forecast_Hauling!AG8</f>
        <v>664913.83547608624</v>
      </c>
      <c r="AH56" s="666">
        <f>Forecast_Hauling!AH8</f>
        <v>689479.6187384763</v>
      </c>
      <c r="AI56" s="666">
        <f>Forecast_Hauling!AI8</f>
        <v>744313.22566425626</v>
      </c>
      <c r="AJ56" s="666">
        <f>Forecast_Hauling!AJ8</f>
        <v>659847.87958751689</v>
      </c>
      <c r="AK56" s="666">
        <f>Forecast_Hauling!AK8</f>
        <v>684475.35145789303</v>
      </c>
      <c r="AL56" s="666">
        <f>Forecast_Hauling!AL8</f>
        <v>733989.22190846677</v>
      </c>
      <c r="AM56" s="666">
        <f>Forecast_Hauling!AM8</f>
        <v>760930.00867092167</v>
      </c>
      <c r="AN56" s="666">
        <f>Forecast_Hauling!AN8</f>
        <v>789148.85370031802</v>
      </c>
      <c r="AO56" s="666">
        <f>Forecast_Hauling!AO8</f>
        <v>847552.11461149948</v>
      </c>
      <c r="AP56" s="666">
        <f>Forecast_Hauling!AP8</f>
        <v>878641.47062887531</v>
      </c>
      <c r="AQ56" s="666">
        <f>Forecast_Hauling!AQ8</f>
        <v>910773.52057906066</v>
      </c>
      <c r="AR56" s="666">
        <f>Forecast_Hauling!AR8</f>
        <v>979816.67244296183</v>
      </c>
      <c r="AS56" s="666">
        <f>Forecast_Hauling!AS8</f>
        <v>1011173.8684007478</v>
      </c>
      <c r="AT56" s="666">
        <f>Forecast_Hauling!AT8</f>
        <v>599912.51296082581</v>
      </c>
      <c r="AU56" s="666">
        <f>Forecast_Hauling!AU8</f>
        <v>622398.18668972596</v>
      </c>
    </row>
    <row r="63" spans="3:47" x14ac:dyDescent="0.25">
      <c r="G63" s="716"/>
    </row>
    <row r="215" spans="1:1" x14ac:dyDescent="0.25">
      <c r="A215" s="654">
        <f>COUNTIF(F43:AU43,"&lt;&gt;Pass")</f>
        <v>0</v>
      </c>
    </row>
  </sheetData>
  <sheetProtection algorithmName="SHA-512" hashValue="0P8wmp8QDa5/MZ6/+eEGPCxPq0e4SV6RbIX0NLSMbvqKc9r+vzbsGIW6dVInk/6btUemOrTSK8g9rI6mpZBJKw==" saltValue="RjwJS/L7YEulYo61ZAXHMg==" spinCount="100000" sheet="1" objects="1" scenarios="1"/>
  <mergeCells count="1">
    <mergeCell ref="A1:C2"/>
  </mergeCells>
  <conditionalFormatting sqref="D43:AU43">
    <cfRule type="containsText" dxfId="3" priority="3" operator="containsText" text="Pass">
      <formula>NOT(ISERROR(SEARCH("Pass",D43)))</formula>
    </cfRule>
    <cfRule type="containsText" dxfId="2" priority="4" operator="containsText" text="Fail">
      <formula>NOT(ISERROR(SEARCH("Fail",D43)))</formula>
    </cfRule>
  </conditionalFormatting>
  <conditionalFormatting sqref="A215">
    <cfRule type="containsText" dxfId="1" priority="1" operator="containsText" text="Pass">
      <formula>NOT(ISERROR(SEARCH("Pass",A215)))</formula>
    </cfRule>
    <cfRule type="containsText" dxfId="0" priority="2" operator="containsText" text="Fail">
      <formula>NOT(ISERROR(SEARCH("Fail",A215)))</formula>
    </cfRule>
  </conditionalFormatting>
  <printOptions horizontalCentered="1"/>
  <pageMargins left="0.7" right="0.7" top="0.75" bottom="0.75" header="0.3" footer="0.3"/>
  <pageSetup paperSize="3" fitToWidth="0"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6" tint="0.39997558519241921"/>
    <pageSetUpPr fitToPage="1"/>
  </sheetPr>
  <dimension ref="A1:AU128"/>
  <sheetViews>
    <sheetView topLeftCell="A17" workbookViewId="0">
      <selection activeCell="E33" sqref="E33"/>
    </sheetView>
  </sheetViews>
  <sheetFormatPr defaultColWidth="9.1796875" defaultRowHeight="12.5" outlineLevelRow="2" x14ac:dyDescent="0.25"/>
  <cols>
    <col min="1" max="1" width="5.26953125" style="2" customWidth="1"/>
    <col min="2" max="2" width="4.453125" style="2" customWidth="1"/>
    <col min="3" max="3" width="51.7265625" style="2" customWidth="1"/>
    <col min="4" max="4" width="10.7265625" style="2" bestFit="1" customWidth="1"/>
    <col min="5" max="5" width="13.26953125" style="9" bestFit="1" customWidth="1"/>
    <col min="6" max="12" width="15" style="2" bestFit="1" customWidth="1"/>
    <col min="13" max="47" width="16.1796875" style="2" bestFit="1" customWidth="1"/>
    <col min="48" max="16384" width="9.1796875" style="2"/>
  </cols>
  <sheetData>
    <row r="1" spans="1:47" ht="18" x14ac:dyDescent="0.4">
      <c r="A1" s="4" t="s">
        <v>294</v>
      </c>
      <c r="D1" s="472" t="s">
        <v>362</v>
      </c>
      <c r="E1" s="472" t="s">
        <v>362</v>
      </c>
      <c r="F1" s="472" t="s">
        <v>362</v>
      </c>
      <c r="G1" s="472" t="s">
        <v>362</v>
      </c>
      <c r="H1" s="472" t="s">
        <v>362</v>
      </c>
      <c r="I1" s="472" t="s">
        <v>362</v>
      </c>
      <c r="J1" s="472" t="s">
        <v>362</v>
      </c>
      <c r="K1" s="472" t="s">
        <v>362</v>
      </c>
      <c r="L1" s="472" t="s">
        <v>362</v>
      </c>
      <c r="M1" s="472" t="s">
        <v>362</v>
      </c>
      <c r="N1" s="472" t="s">
        <v>362</v>
      </c>
      <c r="O1" s="472" t="s">
        <v>362</v>
      </c>
      <c r="P1" s="472" t="s">
        <v>362</v>
      </c>
      <c r="Q1" s="472" t="s">
        <v>362</v>
      </c>
      <c r="R1" s="472" t="s">
        <v>362</v>
      </c>
      <c r="S1" s="472" t="s">
        <v>362</v>
      </c>
      <c r="T1" s="472" t="s">
        <v>362</v>
      </c>
      <c r="U1" s="472" t="s">
        <v>362</v>
      </c>
      <c r="V1" s="472" t="s">
        <v>362</v>
      </c>
      <c r="W1" s="472" t="s">
        <v>362</v>
      </c>
      <c r="X1" s="472" t="s">
        <v>362</v>
      </c>
      <c r="Y1" s="472" t="s">
        <v>362</v>
      </c>
      <c r="Z1" s="472" t="s">
        <v>362</v>
      </c>
      <c r="AA1" s="472" t="s">
        <v>362</v>
      </c>
      <c r="AB1" s="472" t="s">
        <v>362</v>
      </c>
      <c r="AC1" s="472" t="s">
        <v>362</v>
      </c>
      <c r="AD1" s="472" t="s">
        <v>362</v>
      </c>
      <c r="AE1" s="472" t="s">
        <v>362</v>
      </c>
      <c r="AF1" s="472" t="s">
        <v>362</v>
      </c>
      <c r="AG1" s="472" t="s">
        <v>362</v>
      </c>
      <c r="AH1" s="472" t="s">
        <v>362</v>
      </c>
      <c r="AI1" s="472" t="s">
        <v>362</v>
      </c>
      <c r="AJ1" s="472" t="s">
        <v>362</v>
      </c>
      <c r="AK1" s="472" t="s">
        <v>362</v>
      </c>
      <c r="AL1" s="472" t="s">
        <v>362</v>
      </c>
      <c r="AM1" s="472" t="s">
        <v>362</v>
      </c>
      <c r="AN1" s="472" t="s">
        <v>362</v>
      </c>
      <c r="AO1" s="472" t="s">
        <v>362</v>
      </c>
      <c r="AP1" s="472" t="s">
        <v>362</v>
      </c>
      <c r="AQ1" s="472" t="s">
        <v>362</v>
      </c>
      <c r="AR1" s="472" t="s">
        <v>362</v>
      </c>
      <c r="AS1" s="472" t="s">
        <v>362</v>
      </c>
      <c r="AT1" s="472" t="s">
        <v>362</v>
      </c>
      <c r="AU1" s="472" t="s">
        <v>362</v>
      </c>
    </row>
    <row r="2" spans="1:47" ht="14" x14ac:dyDescent="0.3">
      <c r="A2" s="575" t="s">
        <v>44</v>
      </c>
      <c r="B2" s="576"/>
      <c r="C2" s="576"/>
      <c r="D2" s="6">
        <v>2023</v>
      </c>
      <c r="E2" s="6">
        <v>2024</v>
      </c>
      <c r="F2" s="650">
        <v>2025</v>
      </c>
      <c r="G2" s="6">
        <v>2026</v>
      </c>
      <c r="H2" s="650">
        <v>2027</v>
      </c>
      <c r="I2" s="6">
        <v>2028</v>
      </c>
      <c r="J2" s="650">
        <v>2029</v>
      </c>
      <c r="K2" s="6">
        <v>2030</v>
      </c>
      <c r="L2" s="650">
        <v>2031</v>
      </c>
      <c r="M2" s="6">
        <v>2032</v>
      </c>
      <c r="N2" s="650">
        <v>2033</v>
      </c>
      <c r="O2" s="6">
        <v>2034</v>
      </c>
      <c r="P2" s="650">
        <v>2035</v>
      </c>
      <c r="Q2" s="6">
        <v>2036</v>
      </c>
      <c r="R2" s="650">
        <v>2037</v>
      </c>
      <c r="S2" s="6">
        <v>2038</v>
      </c>
      <c r="T2" s="650">
        <v>2039</v>
      </c>
      <c r="U2" s="6">
        <v>2040</v>
      </c>
      <c r="V2" s="650">
        <v>2041</v>
      </c>
      <c r="W2" s="6">
        <v>2042</v>
      </c>
      <c r="X2" s="650">
        <v>2043</v>
      </c>
      <c r="Y2" s="6">
        <v>2044</v>
      </c>
      <c r="Z2" s="650">
        <v>2045</v>
      </c>
      <c r="AA2" s="6">
        <v>2046</v>
      </c>
      <c r="AB2" s="650">
        <v>2047</v>
      </c>
      <c r="AC2" s="6">
        <v>2048</v>
      </c>
      <c r="AD2" s="650">
        <v>2049</v>
      </c>
      <c r="AE2" s="6">
        <v>2050</v>
      </c>
      <c r="AF2" s="650">
        <v>2051</v>
      </c>
      <c r="AG2" s="6">
        <v>2052</v>
      </c>
      <c r="AH2" s="650">
        <v>2053</v>
      </c>
      <c r="AI2" s="6">
        <v>2054</v>
      </c>
      <c r="AJ2" s="650">
        <v>2055</v>
      </c>
      <c r="AK2" s="6">
        <v>2056</v>
      </c>
      <c r="AL2" s="650">
        <v>2057</v>
      </c>
      <c r="AM2" s="6">
        <v>2058</v>
      </c>
      <c r="AN2" s="650">
        <v>2059</v>
      </c>
      <c r="AO2" s="6">
        <v>2060</v>
      </c>
      <c r="AP2" s="650">
        <v>2061</v>
      </c>
      <c r="AQ2" s="6">
        <v>2062</v>
      </c>
      <c r="AR2" s="650">
        <v>2063</v>
      </c>
      <c r="AS2" s="6">
        <v>2064</v>
      </c>
      <c r="AT2" s="650">
        <v>2065</v>
      </c>
      <c r="AU2" s="6">
        <v>2066</v>
      </c>
    </row>
    <row r="3" spans="1:47" s="538" customFormat="1" ht="11.5" outlineLevel="2" x14ac:dyDescent="0.25">
      <c r="A3" s="651" t="s">
        <v>1</v>
      </c>
      <c r="B3" s="652"/>
      <c r="C3" s="652"/>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J3" s="653"/>
      <c r="AK3" s="653"/>
      <c r="AL3" s="653"/>
      <c r="AM3" s="653"/>
      <c r="AN3" s="653"/>
      <c r="AO3" s="653"/>
      <c r="AP3" s="653"/>
      <c r="AQ3" s="653"/>
      <c r="AR3" s="653"/>
      <c r="AS3" s="653"/>
      <c r="AT3" s="653"/>
      <c r="AU3" s="653"/>
    </row>
    <row r="4" spans="1:47" s="538" customFormat="1" ht="11.5" outlineLevel="2" x14ac:dyDescent="0.25">
      <c r="A4" s="579" t="s">
        <v>6</v>
      </c>
      <c r="B4" s="580" t="s">
        <v>37</v>
      </c>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row>
    <row r="5" spans="1:47" s="538" customFormat="1" ht="11.5" outlineLevel="2" x14ac:dyDescent="0.25">
      <c r="A5" s="581"/>
      <c r="B5" s="582"/>
      <c r="C5" s="538" t="s">
        <v>36</v>
      </c>
      <c r="D5" s="578">
        <v>0</v>
      </c>
      <c r="E5" s="578">
        <f t="shared" ref="E5:AU5" si="0">E39*E43</f>
        <v>474231.68735972134</v>
      </c>
      <c r="F5" s="578">
        <f>F39*F43</f>
        <v>3101222.4642659002</v>
      </c>
      <c r="G5" s="578">
        <f t="shared" si="0"/>
        <v>3775414.4220982287</v>
      </c>
      <c r="H5" s="578">
        <f t="shared" si="0"/>
        <v>4226841.9129024427</v>
      </c>
      <c r="I5" s="578">
        <f t="shared" si="0"/>
        <v>4331006.0117314057</v>
      </c>
      <c r="J5" s="578">
        <f t="shared" si="0"/>
        <v>4438071.7324034767</v>
      </c>
      <c r="K5" s="578">
        <f t="shared" si="0"/>
        <v>4130371.1377417208</v>
      </c>
      <c r="L5" s="578">
        <f t="shared" si="0"/>
        <v>4233105.7941276515</v>
      </c>
      <c r="M5" s="578">
        <f t="shared" si="0"/>
        <v>4338713.1437155707</v>
      </c>
      <c r="N5" s="578">
        <f t="shared" si="0"/>
        <v>4859659.8781230031</v>
      </c>
      <c r="O5" s="578">
        <f t="shared" si="0"/>
        <v>4981616.2174736392</v>
      </c>
      <c r="P5" s="578">
        <f t="shared" si="0"/>
        <v>5106995.452836372</v>
      </c>
      <c r="Q5" s="578">
        <f t="shared" si="0"/>
        <v>5398193.2560345409</v>
      </c>
      <c r="R5" s="578">
        <f t="shared" si="0"/>
        <v>5534830.4326327052</v>
      </c>
      <c r="S5" s="578">
        <f t="shared" si="0"/>
        <v>5675316.5810305839</v>
      </c>
      <c r="T5" s="578">
        <f t="shared" si="0"/>
        <v>6359414.2255592663</v>
      </c>
      <c r="U5" s="578">
        <f t="shared" si="0"/>
        <v>6521713.7788985623</v>
      </c>
      <c r="V5" s="578">
        <f t="shared" si="0"/>
        <v>6688601.6236214479</v>
      </c>
      <c r="W5" s="578">
        <f t="shared" si="0"/>
        <v>5866967.1004874799</v>
      </c>
      <c r="X5" s="578">
        <f t="shared" si="0"/>
        <v>6017890.926212159</v>
      </c>
      <c r="Y5" s="578">
        <f t="shared" si="0"/>
        <v>6173096.5114965551</v>
      </c>
      <c r="Z5" s="578">
        <f t="shared" si="0"/>
        <v>6919923.6916047717</v>
      </c>
      <c r="AA5" s="578">
        <f t="shared" si="0"/>
        <v>7099297.8271171274</v>
      </c>
      <c r="AB5" s="578">
        <f t="shared" si="0"/>
        <v>7283778.5370553667</v>
      </c>
      <c r="AC5" s="578">
        <f t="shared" si="0"/>
        <v>7889837.9500675527</v>
      </c>
      <c r="AD5" s="578">
        <f t="shared" si="0"/>
        <v>8095861.7884382233</v>
      </c>
      <c r="AE5" s="578">
        <f t="shared" si="0"/>
        <v>8307770.9285203256</v>
      </c>
      <c r="AF5" s="578">
        <f t="shared" si="0"/>
        <v>9316306.6277788263</v>
      </c>
      <c r="AG5" s="578">
        <f t="shared" si="0"/>
        <v>9561306.8515543621</v>
      </c>
      <c r="AH5" s="578">
        <f t="shared" si="0"/>
        <v>9813329.3296262659</v>
      </c>
      <c r="AI5" s="578">
        <f t="shared" si="0"/>
        <v>9209658.4321724363</v>
      </c>
      <c r="AJ5" s="578">
        <f t="shared" si="0"/>
        <v>9453511.2294863705</v>
      </c>
      <c r="AK5" s="578">
        <f t="shared" si="0"/>
        <v>9704376.5657678433</v>
      </c>
      <c r="AL5" s="578">
        <f t="shared" si="0"/>
        <v>10886253.389281614</v>
      </c>
      <c r="AM5" s="578">
        <f t="shared" si="0"/>
        <v>11176400.288757199</v>
      </c>
      <c r="AN5" s="578">
        <f t="shared" si="0"/>
        <v>11474918.292994495</v>
      </c>
      <c r="AO5" s="578">
        <f t="shared" si="0"/>
        <v>12548959.713145927</v>
      </c>
      <c r="AP5" s="578">
        <f t="shared" si="0"/>
        <v>12885550.047060654</v>
      </c>
      <c r="AQ5" s="578">
        <f t="shared" si="0"/>
        <v>13231882.752174523</v>
      </c>
      <c r="AR5" s="578">
        <f t="shared" si="0"/>
        <v>14848248.186489498</v>
      </c>
      <c r="AS5" s="578">
        <f t="shared" si="0"/>
        <v>15248956.058859045</v>
      </c>
      <c r="AT5" s="578">
        <f t="shared" si="0"/>
        <v>15661299.054034116</v>
      </c>
      <c r="AU5" s="578">
        <f t="shared" si="0"/>
        <v>8106779.83079236</v>
      </c>
    </row>
    <row r="6" spans="1:47" s="555" customFormat="1" ht="11.5" outlineLevel="2" x14ac:dyDescent="0.25">
      <c r="A6" s="583"/>
      <c r="B6" s="584"/>
      <c r="C6" s="585" t="s">
        <v>43</v>
      </c>
      <c r="D6" s="586">
        <f t="shared" ref="D6:AU6" si="1">SUM(D5:D5)</f>
        <v>0</v>
      </c>
      <c r="E6" s="586">
        <f t="shared" si="1"/>
        <v>474231.68735972134</v>
      </c>
      <c r="F6" s="586">
        <f t="shared" si="1"/>
        <v>3101222.4642659002</v>
      </c>
      <c r="G6" s="586">
        <f t="shared" si="1"/>
        <v>3775414.4220982287</v>
      </c>
      <c r="H6" s="586">
        <f t="shared" si="1"/>
        <v>4226841.9129024427</v>
      </c>
      <c r="I6" s="586">
        <f t="shared" si="1"/>
        <v>4331006.0117314057</v>
      </c>
      <c r="J6" s="586">
        <f t="shared" si="1"/>
        <v>4438071.7324034767</v>
      </c>
      <c r="K6" s="586">
        <f t="shared" si="1"/>
        <v>4130371.1377417208</v>
      </c>
      <c r="L6" s="586">
        <f t="shared" si="1"/>
        <v>4233105.7941276515</v>
      </c>
      <c r="M6" s="586">
        <f t="shared" si="1"/>
        <v>4338713.1437155707</v>
      </c>
      <c r="N6" s="586">
        <f t="shared" si="1"/>
        <v>4859659.8781230031</v>
      </c>
      <c r="O6" s="586">
        <f t="shared" si="1"/>
        <v>4981616.2174736392</v>
      </c>
      <c r="P6" s="586">
        <f t="shared" si="1"/>
        <v>5106995.452836372</v>
      </c>
      <c r="Q6" s="586">
        <f t="shared" si="1"/>
        <v>5398193.2560345409</v>
      </c>
      <c r="R6" s="586">
        <f t="shared" si="1"/>
        <v>5534830.4326327052</v>
      </c>
      <c r="S6" s="586">
        <f t="shared" si="1"/>
        <v>5675316.5810305839</v>
      </c>
      <c r="T6" s="586">
        <f t="shared" si="1"/>
        <v>6359414.2255592663</v>
      </c>
      <c r="U6" s="586">
        <f t="shared" si="1"/>
        <v>6521713.7788985623</v>
      </c>
      <c r="V6" s="586">
        <f t="shared" si="1"/>
        <v>6688601.6236214479</v>
      </c>
      <c r="W6" s="586">
        <f t="shared" si="1"/>
        <v>5866967.1004874799</v>
      </c>
      <c r="X6" s="586">
        <f t="shared" si="1"/>
        <v>6017890.926212159</v>
      </c>
      <c r="Y6" s="586">
        <f t="shared" si="1"/>
        <v>6173096.5114965551</v>
      </c>
      <c r="Z6" s="586">
        <f t="shared" si="1"/>
        <v>6919923.6916047717</v>
      </c>
      <c r="AA6" s="586">
        <f t="shared" si="1"/>
        <v>7099297.8271171274</v>
      </c>
      <c r="AB6" s="586">
        <f t="shared" si="1"/>
        <v>7283778.5370553667</v>
      </c>
      <c r="AC6" s="586">
        <f t="shared" si="1"/>
        <v>7889837.9500675527</v>
      </c>
      <c r="AD6" s="586">
        <f t="shared" si="1"/>
        <v>8095861.7884382233</v>
      </c>
      <c r="AE6" s="586">
        <f t="shared" si="1"/>
        <v>8307770.9285203256</v>
      </c>
      <c r="AF6" s="586">
        <f t="shared" si="1"/>
        <v>9316306.6277788263</v>
      </c>
      <c r="AG6" s="586">
        <f t="shared" si="1"/>
        <v>9561306.8515543621</v>
      </c>
      <c r="AH6" s="586">
        <f t="shared" si="1"/>
        <v>9813329.3296262659</v>
      </c>
      <c r="AI6" s="586">
        <f t="shared" si="1"/>
        <v>9209658.4321724363</v>
      </c>
      <c r="AJ6" s="586">
        <f t="shared" si="1"/>
        <v>9453511.2294863705</v>
      </c>
      <c r="AK6" s="586">
        <f t="shared" si="1"/>
        <v>9704376.5657678433</v>
      </c>
      <c r="AL6" s="586">
        <f t="shared" si="1"/>
        <v>10886253.389281614</v>
      </c>
      <c r="AM6" s="586">
        <f t="shared" si="1"/>
        <v>11176400.288757199</v>
      </c>
      <c r="AN6" s="586">
        <f t="shared" si="1"/>
        <v>11474918.292994495</v>
      </c>
      <c r="AO6" s="586">
        <f t="shared" si="1"/>
        <v>12548959.713145927</v>
      </c>
      <c r="AP6" s="586">
        <f t="shared" si="1"/>
        <v>12885550.047060654</v>
      </c>
      <c r="AQ6" s="586">
        <f t="shared" si="1"/>
        <v>13231882.752174523</v>
      </c>
      <c r="AR6" s="586">
        <f t="shared" si="1"/>
        <v>14848248.186489498</v>
      </c>
      <c r="AS6" s="586">
        <f t="shared" si="1"/>
        <v>15248956.058859045</v>
      </c>
      <c r="AT6" s="586">
        <f t="shared" si="1"/>
        <v>15661299.054034116</v>
      </c>
      <c r="AU6" s="586">
        <f t="shared" si="1"/>
        <v>8106779.83079236</v>
      </c>
    </row>
    <row r="7" spans="1:47" s="11" customFormat="1" ht="13" outlineLevel="1" x14ac:dyDescent="0.3">
      <c r="A7" s="23"/>
      <c r="B7" s="24"/>
      <c r="C7" s="24" t="s">
        <v>4</v>
      </c>
      <c r="D7" s="25">
        <f>SUM(D6)</f>
        <v>0</v>
      </c>
      <c r="E7" s="25">
        <f t="shared" ref="E7:AU7" si="2">SUM(E6)</f>
        <v>474231.68735972134</v>
      </c>
      <c r="F7" s="25">
        <f t="shared" si="2"/>
        <v>3101222.4642659002</v>
      </c>
      <c r="G7" s="25">
        <f t="shared" si="2"/>
        <v>3775414.4220982287</v>
      </c>
      <c r="H7" s="25">
        <f t="shared" si="2"/>
        <v>4226841.9129024427</v>
      </c>
      <c r="I7" s="25">
        <f t="shared" si="2"/>
        <v>4331006.0117314057</v>
      </c>
      <c r="J7" s="25">
        <f t="shared" si="2"/>
        <v>4438071.7324034767</v>
      </c>
      <c r="K7" s="25">
        <f t="shared" si="2"/>
        <v>4130371.1377417208</v>
      </c>
      <c r="L7" s="25">
        <f t="shared" si="2"/>
        <v>4233105.7941276515</v>
      </c>
      <c r="M7" s="25">
        <f t="shared" si="2"/>
        <v>4338713.1437155707</v>
      </c>
      <c r="N7" s="25">
        <f t="shared" si="2"/>
        <v>4859659.8781230031</v>
      </c>
      <c r="O7" s="25">
        <f t="shared" si="2"/>
        <v>4981616.2174736392</v>
      </c>
      <c r="P7" s="25">
        <f t="shared" si="2"/>
        <v>5106995.452836372</v>
      </c>
      <c r="Q7" s="25">
        <f t="shared" si="2"/>
        <v>5398193.2560345409</v>
      </c>
      <c r="R7" s="25">
        <f t="shared" si="2"/>
        <v>5534830.4326327052</v>
      </c>
      <c r="S7" s="25">
        <f t="shared" si="2"/>
        <v>5675316.5810305839</v>
      </c>
      <c r="T7" s="25">
        <f t="shared" si="2"/>
        <v>6359414.2255592663</v>
      </c>
      <c r="U7" s="25">
        <f t="shared" si="2"/>
        <v>6521713.7788985623</v>
      </c>
      <c r="V7" s="25">
        <f t="shared" si="2"/>
        <v>6688601.6236214479</v>
      </c>
      <c r="W7" s="25">
        <f t="shared" si="2"/>
        <v>5866967.1004874799</v>
      </c>
      <c r="X7" s="25">
        <f t="shared" si="2"/>
        <v>6017890.926212159</v>
      </c>
      <c r="Y7" s="25">
        <f t="shared" si="2"/>
        <v>6173096.5114965551</v>
      </c>
      <c r="Z7" s="25">
        <f t="shared" si="2"/>
        <v>6919923.6916047717</v>
      </c>
      <c r="AA7" s="25">
        <f t="shared" si="2"/>
        <v>7099297.8271171274</v>
      </c>
      <c r="AB7" s="25">
        <f t="shared" si="2"/>
        <v>7283778.5370553667</v>
      </c>
      <c r="AC7" s="25">
        <f t="shared" si="2"/>
        <v>7889837.9500675527</v>
      </c>
      <c r="AD7" s="25">
        <f t="shared" si="2"/>
        <v>8095861.7884382233</v>
      </c>
      <c r="AE7" s="25">
        <f t="shared" si="2"/>
        <v>8307770.9285203256</v>
      </c>
      <c r="AF7" s="25">
        <f t="shared" si="2"/>
        <v>9316306.6277788263</v>
      </c>
      <c r="AG7" s="25">
        <f t="shared" si="2"/>
        <v>9561306.8515543621</v>
      </c>
      <c r="AH7" s="25">
        <f t="shared" si="2"/>
        <v>9813329.3296262659</v>
      </c>
      <c r="AI7" s="25">
        <f t="shared" si="2"/>
        <v>9209658.4321724363</v>
      </c>
      <c r="AJ7" s="25">
        <f t="shared" si="2"/>
        <v>9453511.2294863705</v>
      </c>
      <c r="AK7" s="25">
        <f t="shared" si="2"/>
        <v>9704376.5657678433</v>
      </c>
      <c r="AL7" s="25">
        <f t="shared" si="2"/>
        <v>10886253.389281614</v>
      </c>
      <c r="AM7" s="25">
        <f t="shared" si="2"/>
        <v>11176400.288757199</v>
      </c>
      <c r="AN7" s="25">
        <f t="shared" si="2"/>
        <v>11474918.292994495</v>
      </c>
      <c r="AO7" s="25">
        <f t="shared" si="2"/>
        <v>12548959.713145927</v>
      </c>
      <c r="AP7" s="25">
        <f t="shared" si="2"/>
        <v>12885550.047060654</v>
      </c>
      <c r="AQ7" s="25">
        <f t="shared" si="2"/>
        <v>13231882.752174523</v>
      </c>
      <c r="AR7" s="25">
        <f t="shared" si="2"/>
        <v>14848248.186489498</v>
      </c>
      <c r="AS7" s="25">
        <f t="shared" si="2"/>
        <v>15248956.058859045</v>
      </c>
      <c r="AT7" s="25">
        <f t="shared" si="2"/>
        <v>15661299.054034116</v>
      </c>
      <c r="AU7" s="25">
        <f t="shared" si="2"/>
        <v>8106779.83079236</v>
      </c>
    </row>
    <row r="8" spans="1:47" s="538" customFormat="1" ht="11.5" outlineLevel="2" x14ac:dyDescent="0.25">
      <c r="A8" s="577" t="s">
        <v>2</v>
      </c>
      <c r="C8" s="580"/>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row>
    <row r="9" spans="1:47" s="538" customFormat="1" ht="11.5" outlineLevel="2" x14ac:dyDescent="0.25">
      <c r="A9" s="579" t="s">
        <v>8</v>
      </c>
      <c r="B9" s="580" t="s">
        <v>28</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row>
    <row r="10" spans="1:47" s="538" customFormat="1" ht="11.5" outlineLevel="2" x14ac:dyDescent="0.25">
      <c r="A10" s="581"/>
      <c r="B10" s="582"/>
      <c r="C10" s="538" t="s">
        <v>30</v>
      </c>
      <c r="D10" s="578">
        <v>0</v>
      </c>
      <c r="E10" s="578">
        <f>F10*(2/12)</f>
        <v>85821.502666666667</v>
      </c>
      <c r="F10" s="588">
        <f>'Salary - Landfill'!$E$16</f>
        <v>514929.016</v>
      </c>
      <c r="G10" s="578">
        <f t="shared" ref="G10:AH10" si="3">F10*(1+Inf)</f>
        <v>530376.88647999999</v>
      </c>
      <c r="H10" s="578">
        <f t="shared" si="3"/>
        <v>546288.19307439995</v>
      </c>
      <c r="I10" s="578">
        <f t="shared" si="3"/>
        <v>562676.83886663197</v>
      </c>
      <c r="J10" s="578">
        <f t="shared" si="3"/>
        <v>579557.14403263095</v>
      </c>
      <c r="K10" s="578">
        <f t="shared" si="3"/>
        <v>596943.85835360992</v>
      </c>
      <c r="L10" s="578">
        <f t="shared" si="3"/>
        <v>614852.17410421825</v>
      </c>
      <c r="M10" s="578">
        <f t="shared" si="3"/>
        <v>633297.73932734481</v>
      </c>
      <c r="N10" s="578">
        <f t="shared" si="3"/>
        <v>652296.67150716519</v>
      </c>
      <c r="O10" s="578">
        <f t="shared" si="3"/>
        <v>671865.57165238017</v>
      </c>
      <c r="P10" s="578">
        <f t="shared" si="3"/>
        <v>692021.53880195157</v>
      </c>
      <c r="Q10" s="578">
        <f t="shared" si="3"/>
        <v>712782.18496601016</v>
      </c>
      <c r="R10" s="578">
        <f t="shared" si="3"/>
        <v>734165.65051499044</v>
      </c>
      <c r="S10" s="578">
        <f t="shared" si="3"/>
        <v>756190.62003044016</v>
      </c>
      <c r="T10" s="578">
        <f t="shared" si="3"/>
        <v>778876.33863135334</v>
      </c>
      <c r="U10" s="578">
        <f t="shared" si="3"/>
        <v>802242.62879029394</v>
      </c>
      <c r="V10" s="578">
        <f t="shared" si="3"/>
        <v>826309.90765400277</v>
      </c>
      <c r="W10" s="578">
        <f t="shared" si="3"/>
        <v>851099.20488362294</v>
      </c>
      <c r="X10" s="578">
        <f t="shared" si="3"/>
        <v>876632.18103013164</v>
      </c>
      <c r="Y10" s="578">
        <f t="shared" si="3"/>
        <v>902931.14646103559</v>
      </c>
      <c r="Z10" s="578">
        <f t="shared" si="3"/>
        <v>930019.08085486665</v>
      </c>
      <c r="AA10" s="578">
        <f t="shared" si="3"/>
        <v>957919.65328051266</v>
      </c>
      <c r="AB10" s="578">
        <f t="shared" si="3"/>
        <v>986657.24287892808</v>
      </c>
      <c r="AC10" s="578">
        <f t="shared" si="3"/>
        <v>1016256.960165296</v>
      </c>
      <c r="AD10" s="578">
        <f t="shared" si="3"/>
        <v>1046744.6689702548</v>
      </c>
      <c r="AE10" s="578">
        <f t="shared" si="3"/>
        <v>1078147.0090393624</v>
      </c>
      <c r="AF10" s="578">
        <f t="shared" si="3"/>
        <v>1110491.4193105432</v>
      </c>
      <c r="AG10" s="578">
        <f t="shared" si="3"/>
        <v>1143806.1618898595</v>
      </c>
      <c r="AH10" s="578">
        <f t="shared" si="3"/>
        <v>1178120.3467465553</v>
      </c>
      <c r="AI10" s="578">
        <f t="shared" ref="AI10:AU10" si="4">AH10*(1+Inf)</f>
        <v>1213463.9571489519</v>
      </c>
      <c r="AJ10" s="578">
        <f t="shared" si="4"/>
        <v>1249867.8758634205</v>
      </c>
      <c r="AK10" s="578">
        <f t="shared" si="4"/>
        <v>1287363.9121393233</v>
      </c>
      <c r="AL10" s="578">
        <f t="shared" si="4"/>
        <v>1325984.8295035029</v>
      </c>
      <c r="AM10" s="578">
        <f t="shared" si="4"/>
        <v>1365764.3743886082</v>
      </c>
      <c r="AN10" s="578">
        <f t="shared" si="4"/>
        <v>1406737.3056202664</v>
      </c>
      <c r="AO10" s="578">
        <f t="shared" si="4"/>
        <v>1448939.4247888743</v>
      </c>
      <c r="AP10" s="578">
        <f t="shared" si="4"/>
        <v>1492407.6075325406</v>
      </c>
      <c r="AQ10" s="578">
        <f t="shared" si="4"/>
        <v>1537179.8357585168</v>
      </c>
      <c r="AR10" s="578">
        <f t="shared" si="4"/>
        <v>1583295.2308312724</v>
      </c>
      <c r="AS10" s="578">
        <f t="shared" si="4"/>
        <v>1630794.0877562107</v>
      </c>
      <c r="AT10" s="578">
        <f t="shared" si="4"/>
        <v>1679717.9103888972</v>
      </c>
      <c r="AU10" s="578">
        <f t="shared" si="4"/>
        <v>1730109.4477005641</v>
      </c>
    </row>
    <row r="11" spans="1:47" s="538" customFormat="1" ht="11.5" outlineLevel="2" x14ac:dyDescent="0.25">
      <c r="A11" s="581"/>
      <c r="B11" s="582"/>
      <c r="C11" s="585" t="s">
        <v>39</v>
      </c>
      <c r="D11" s="586">
        <f t="shared" ref="D11:AH11" si="5">SUM(D10:D10)</f>
        <v>0</v>
      </c>
      <c r="E11" s="586">
        <f t="shared" si="5"/>
        <v>85821.502666666667</v>
      </c>
      <c r="F11" s="586">
        <f t="shared" si="5"/>
        <v>514929.016</v>
      </c>
      <c r="G11" s="586">
        <f t="shared" si="5"/>
        <v>530376.88647999999</v>
      </c>
      <c r="H11" s="586">
        <f t="shared" si="5"/>
        <v>546288.19307439995</v>
      </c>
      <c r="I11" s="586">
        <f t="shared" si="5"/>
        <v>562676.83886663197</v>
      </c>
      <c r="J11" s="586">
        <f t="shared" si="5"/>
        <v>579557.14403263095</v>
      </c>
      <c r="K11" s="586">
        <f t="shared" si="5"/>
        <v>596943.85835360992</v>
      </c>
      <c r="L11" s="586">
        <f t="shared" si="5"/>
        <v>614852.17410421825</v>
      </c>
      <c r="M11" s="586">
        <f t="shared" si="5"/>
        <v>633297.73932734481</v>
      </c>
      <c r="N11" s="586">
        <f t="shared" si="5"/>
        <v>652296.67150716519</v>
      </c>
      <c r="O11" s="586">
        <f t="shared" si="5"/>
        <v>671865.57165238017</v>
      </c>
      <c r="P11" s="586">
        <f t="shared" si="5"/>
        <v>692021.53880195157</v>
      </c>
      <c r="Q11" s="586">
        <f t="shared" si="5"/>
        <v>712782.18496601016</v>
      </c>
      <c r="R11" s="586">
        <f t="shared" si="5"/>
        <v>734165.65051499044</v>
      </c>
      <c r="S11" s="586">
        <f t="shared" si="5"/>
        <v>756190.62003044016</v>
      </c>
      <c r="T11" s="586">
        <f t="shared" si="5"/>
        <v>778876.33863135334</v>
      </c>
      <c r="U11" s="586">
        <f t="shared" si="5"/>
        <v>802242.62879029394</v>
      </c>
      <c r="V11" s="586">
        <f t="shared" si="5"/>
        <v>826309.90765400277</v>
      </c>
      <c r="W11" s="586">
        <f t="shared" si="5"/>
        <v>851099.20488362294</v>
      </c>
      <c r="X11" s="586">
        <f t="shared" si="5"/>
        <v>876632.18103013164</v>
      </c>
      <c r="Y11" s="586">
        <f t="shared" si="5"/>
        <v>902931.14646103559</v>
      </c>
      <c r="Z11" s="586">
        <f t="shared" si="5"/>
        <v>930019.08085486665</v>
      </c>
      <c r="AA11" s="586">
        <f t="shared" si="5"/>
        <v>957919.65328051266</v>
      </c>
      <c r="AB11" s="586">
        <f t="shared" si="5"/>
        <v>986657.24287892808</v>
      </c>
      <c r="AC11" s="586">
        <f t="shared" si="5"/>
        <v>1016256.960165296</v>
      </c>
      <c r="AD11" s="586">
        <f t="shared" si="5"/>
        <v>1046744.6689702548</v>
      </c>
      <c r="AE11" s="586">
        <f t="shared" si="5"/>
        <v>1078147.0090393624</v>
      </c>
      <c r="AF11" s="586">
        <f t="shared" si="5"/>
        <v>1110491.4193105432</v>
      </c>
      <c r="AG11" s="586">
        <f t="shared" si="5"/>
        <v>1143806.1618898595</v>
      </c>
      <c r="AH11" s="586">
        <f t="shared" si="5"/>
        <v>1178120.3467465553</v>
      </c>
      <c r="AI11" s="586">
        <f t="shared" ref="AI11:AU11" si="6">SUM(AI10:AI10)</f>
        <v>1213463.9571489519</v>
      </c>
      <c r="AJ11" s="586">
        <f t="shared" si="6"/>
        <v>1249867.8758634205</v>
      </c>
      <c r="AK11" s="586">
        <f t="shared" si="6"/>
        <v>1287363.9121393233</v>
      </c>
      <c r="AL11" s="586">
        <f t="shared" si="6"/>
        <v>1325984.8295035029</v>
      </c>
      <c r="AM11" s="586">
        <f t="shared" si="6"/>
        <v>1365764.3743886082</v>
      </c>
      <c r="AN11" s="586">
        <f t="shared" si="6"/>
        <v>1406737.3056202664</v>
      </c>
      <c r="AO11" s="586">
        <f t="shared" si="6"/>
        <v>1448939.4247888743</v>
      </c>
      <c r="AP11" s="586">
        <f t="shared" si="6"/>
        <v>1492407.6075325406</v>
      </c>
      <c r="AQ11" s="586">
        <f t="shared" si="6"/>
        <v>1537179.8357585168</v>
      </c>
      <c r="AR11" s="586">
        <f t="shared" si="6"/>
        <v>1583295.2308312724</v>
      </c>
      <c r="AS11" s="586">
        <f t="shared" si="6"/>
        <v>1630794.0877562107</v>
      </c>
      <c r="AT11" s="586">
        <f t="shared" si="6"/>
        <v>1679717.9103888972</v>
      </c>
      <c r="AU11" s="586">
        <f t="shared" si="6"/>
        <v>1730109.4477005641</v>
      </c>
    </row>
    <row r="12" spans="1:47" s="538" customFormat="1" ht="11.5" outlineLevel="2" x14ac:dyDescent="0.25">
      <c r="A12" s="579" t="s">
        <v>9</v>
      </c>
      <c r="B12" s="580" t="s">
        <v>27</v>
      </c>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row>
    <row r="13" spans="1:47" s="538" customFormat="1" ht="11.5" outlineLevel="2" x14ac:dyDescent="0.25">
      <c r="A13" s="581"/>
      <c r="B13" s="582"/>
      <c r="C13" s="538" t="s">
        <v>25</v>
      </c>
      <c r="D13" s="578">
        <v>0</v>
      </c>
      <c r="E13" s="578">
        <f>F13*(2/12)</f>
        <v>1666.6666666666665</v>
      </c>
      <c r="F13" s="578">
        <v>10000</v>
      </c>
      <c r="G13" s="578">
        <f t="shared" ref="G13:AH13" si="7">F13*(1+Inf)</f>
        <v>10300</v>
      </c>
      <c r="H13" s="578">
        <f t="shared" si="7"/>
        <v>10609</v>
      </c>
      <c r="I13" s="578">
        <f t="shared" si="7"/>
        <v>10927.27</v>
      </c>
      <c r="J13" s="578">
        <f t="shared" si="7"/>
        <v>11255.088100000001</v>
      </c>
      <c r="K13" s="578">
        <f t="shared" si="7"/>
        <v>11592.740743</v>
      </c>
      <c r="L13" s="578">
        <f t="shared" si="7"/>
        <v>11940.52296529</v>
      </c>
      <c r="M13" s="578">
        <f t="shared" si="7"/>
        <v>12298.7386542487</v>
      </c>
      <c r="N13" s="578">
        <f t="shared" si="7"/>
        <v>12667.700813876161</v>
      </c>
      <c r="O13" s="578">
        <f t="shared" si="7"/>
        <v>13047.731838292446</v>
      </c>
      <c r="P13" s="578">
        <f t="shared" si="7"/>
        <v>13439.163793441219</v>
      </c>
      <c r="Q13" s="578">
        <f t="shared" si="7"/>
        <v>13842.338707244457</v>
      </c>
      <c r="R13" s="578">
        <f t="shared" si="7"/>
        <v>14257.60886846179</v>
      </c>
      <c r="S13" s="578">
        <f t="shared" si="7"/>
        <v>14685.337134515645</v>
      </c>
      <c r="T13" s="578">
        <f t="shared" si="7"/>
        <v>15125.897248551115</v>
      </c>
      <c r="U13" s="578">
        <f t="shared" si="7"/>
        <v>15579.67416600765</v>
      </c>
      <c r="V13" s="578">
        <f t="shared" si="7"/>
        <v>16047.06439098788</v>
      </c>
      <c r="W13" s="578">
        <f t="shared" si="7"/>
        <v>16528.476322717517</v>
      </c>
      <c r="X13" s="578">
        <f t="shared" si="7"/>
        <v>17024.330612399044</v>
      </c>
      <c r="Y13" s="578">
        <f t="shared" si="7"/>
        <v>17535.060530771018</v>
      </c>
      <c r="Z13" s="578">
        <f t="shared" si="7"/>
        <v>18061.11234669415</v>
      </c>
      <c r="AA13" s="578">
        <f t="shared" si="7"/>
        <v>18602.945717094975</v>
      </c>
      <c r="AB13" s="578">
        <f t="shared" si="7"/>
        <v>19161.034088607827</v>
      </c>
      <c r="AC13" s="578">
        <f t="shared" si="7"/>
        <v>19735.865111266063</v>
      </c>
      <c r="AD13" s="578">
        <f t="shared" si="7"/>
        <v>20327.941064604045</v>
      </c>
      <c r="AE13" s="578">
        <f t="shared" si="7"/>
        <v>20937.779296542169</v>
      </c>
      <c r="AF13" s="578">
        <f t="shared" si="7"/>
        <v>21565.912675438434</v>
      </c>
      <c r="AG13" s="578">
        <f t="shared" si="7"/>
        <v>22212.890055701588</v>
      </c>
      <c r="AH13" s="578">
        <f t="shared" si="7"/>
        <v>22879.276757372634</v>
      </c>
      <c r="AI13" s="578">
        <f t="shared" ref="AI13:AI22" si="8">AH13*(1+Inf)</f>
        <v>23565.655060093814</v>
      </c>
      <c r="AJ13" s="578">
        <f t="shared" ref="AJ13:AJ22" si="9">AI13*(1+Inf)</f>
        <v>24272.624711896628</v>
      </c>
      <c r="AK13" s="578">
        <f t="shared" ref="AK13:AK22" si="10">AJ13*(1+Inf)</f>
        <v>25000.803453253528</v>
      </c>
      <c r="AL13" s="578">
        <f t="shared" ref="AL13:AL22" si="11">AK13*(1+Inf)</f>
        <v>25750.827556851134</v>
      </c>
      <c r="AM13" s="578">
        <f t="shared" ref="AM13:AM22" si="12">AL13*(1+Inf)</f>
        <v>26523.35238355667</v>
      </c>
      <c r="AN13" s="578">
        <f t="shared" ref="AN13:AN22" si="13">AM13*(1+Inf)</f>
        <v>27319.052955063373</v>
      </c>
      <c r="AO13" s="578">
        <f t="shared" ref="AO13:AO22" si="14">AN13*(1+Inf)</f>
        <v>28138.624543715276</v>
      </c>
      <c r="AP13" s="578">
        <f t="shared" ref="AP13:AP22" si="15">AO13*(1+Inf)</f>
        <v>28982.783280026735</v>
      </c>
      <c r="AQ13" s="578">
        <f t="shared" ref="AQ13:AQ22" si="16">AP13*(1+Inf)</f>
        <v>29852.266778427536</v>
      </c>
      <c r="AR13" s="578">
        <f t="shared" ref="AR13:AR22" si="17">AQ13*(1+Inf)</f>
        <v>30747.834781780362</v>
      </c>
      <c r="AS13" s="578">
        <f t="shared" ref="AS13:AS22" si="18">AR13*(1+Inf)</f>
        <v>31670.269825233772</v>
      </c>
      <c r="AT13" s="578">
        <f t="shared" ref="AT13:AT22" si="19">AS13*(1+Inf)</f>
        <v>32620.377919990788</v>
      </c>
      <c r="AU13" s="578">
        <f t="shared" ref="AU13:AU22" si="20">AT13*(1+Inf)</f>
        <v>33598.989257590511</v>
      </c>
    </row>
    <row r="14" spans="1:47" s="538" customFormat="1" ht="11.5" outlineLevel="2" x14ac:dyDescent="0.25">
      <c r="A14" s="581"/>
      <c r="B14" s="582"/>
      <c r="C14" s="538" t="s">
        <v>11</v>
      </c>
      <c r="D14" s="578">
        <v>0</v>
      </c>
      <c r="E14" s="578">
        <f>F14*(2/12)</f>
        <v>333.33333333333331</v>
      </c>
      <c r="F14" s="578">
        <v>2000</v>
      </c>
      <c r="G14" s="578">
        <f t="shared" ref="G14:AH14" si="21">F14*(1+Inf)</f>
        <v>2060</v>
      </c>
      <c r="H14" s="578">
        <f t="shared" si="21"/>
        <v>2121.8000000000002</v>
      </c>
      <c r="I14" s="578">
        <f t="shared" si="21"/>
        <v>2185.4540000000002</v>
      </c>
      <c r="J14" s="578">
        <f t="shared" si="21"/>
        <v>2251.0176200000001</v>
      </c>
      <c r="K14" s="578">
        <f t="shared" si="21"/>
        <v>2318.5481486000003</v>
      </c>
      <c r="L14" s="578">
        <f t="shared" si="21"/>
        <v>2388.1045930580003</v>
      </c>
      <c r="M14" s="578">
        <f t="shared" si="21"/>
        <v>2459.7477308497405</v>
      </c>
      <c r="N14" s="578">
        <f t="shared" si="21"/>
        <v>2533.5401627752326</v>
      </c>
      <c r="O14" s="578">
        <f t="shared" si="21"/>
        <v>2609.5463676584895</v>
      </c>
      <c r="P14" s="578">
        <f t="shared" si="21"/>
        <v>2687.8327586882442</v>
      </c>
      <c r="Q14" s="578">
        <f t="shared" si="21"/>
        <v>2768.4677414488915</v>
      </c>
      <c r="R14" s="578">
        <f t="shared" si="21"/>
        <v>2851.5217736923582</v>
      </c>
      <c r="S14" s="578">
        <f t="shared" si="21"/>
        <v>2937.0674269031292</v>
      </c>
      <c r="T14" s="578">
        <f t="shared" si="21"/>
        <v>3025.1794497102233</v>
      </c>
      <c r="U14" s="578">
        <f t="shared" si="21"/>
        <v>3115.9348332015302</v>
      </c>
      <c r="V14" s="578">
        <f t="shared" si="21"/>
        <v>3209.412878197576</v>
      </c>
      <c r="W14" s="578">
        <f t="shared" si="21"/>
        <v>3305.6952645435035</v>
      </c>
      <c r="X14" s="578">
        <f t="shared" si="21"/>
        <v>3404.8661224798088</v>
      </c>
      <c r="Y14" s="578">
        <f t="shared" si="21"/>
        <v>3507.0121061542031</v>
      </c>
      <c r="Z14" s="578">
        <f t="shared" si="21"/>
        <v>3612.2224693388293</v>
      </c>
      <c r="AA14" s="578">
        <f t="shared" si="21"/>
        <v>3720.5891434189944</v>
      </c>
      <c r="AB14" s="578">
        <f t="shared" si="21"/>
        <v>3832.2068177215642</v>
      </c>
      <c r="AC14" s="578">
        <f t="shared" si="21"/>
        <v>3947.1730222532115</v>
      </c>
      <c r="AD14" s="578">
        <f t="shared" si="21"/>
        <v>4065.588212920808</v>
      </c>
      <c r="AE14" s="578">
        <f t="shared" si="21"/>
        <v>4187.5558593084324</v>
      </c>
      <c r="AF14" s="578">
        <f t="shared" si="21"/>
        <v>4313.1825350876852</v>
      </c>
      <c r="AG14" s="578">
        <f t="shared" si="21"/>
        <v>4442.5780111403155</v>
      </c>
      <c r="AH14" s="578">
        <f t="shared" si="21"/>
        <v>4575.8553514745254</v>
      </c>
      <c r="AI14" s="578">
        <f t="shared" si="8"/>
        <v>4713.1310120187609</v>
      </c>
      <c r="AJ14" s="578">
        <f t="shared" si="9"/>
        <v>4854.5249423793239</v>
      </c>
      <c r="AK14" s="578">
        <f t="shared" si="10"/>
        <v>5000.1606906507041</v>
      </c>
      <c r="AL14" s="578">
        <f t="shared" si="11"/>
        <v>5150.1655113702254</v>
      </c>
      <c r="AM14" s="578">
        <f t="shared" si="12"/>
        <v>5304.6704767113324</v>
      </c>
      <c r="AN14" s="578">
        <f t="shared" si="13"/>
        <v>5463.8105910126724</v>
      </c>
      <c r="AO14" s="578">
        <f t="shared" si="14"/>
        <v>5627.7249087430528</v>
      </c>
      <c r="AP14" s="578">
        <f t="shared" si="15"/>
        <v>5796.5566560053448</v>
      </c>
      <c r="AQ14" s="578">
        <f t="shared" si="16"/>
        <v>5970.4533556855049</v>
      </c>
      <c r="AR14" s="578">
        <f t="shared" si="17"/>
        <v>6149.5669563560705</v>
      </c>
      <c r="AS14" s="578">
        <f t="shared" si="18"/>
        <v>6334.0539650467526</v>
      </c>
      <c r="AT14" s="578">
        <f t="shared" si="19"/>
        <v>6524.0755839981557</v>
      </c>
      <c r="AU14" s="578">
        <f t="shared" si="20"/>
        <v>6719.7978515181003</v>
      </c>
    </row>
    <row r="15" spans="1:47" s="538" customFormat="1" ht="11.5" outlineLevel="2" x14ac:dyDescent="0.25">
      <c r="A15" s="581"/>
      <c r="B15" s="582"/>
      <c r="C15" s="538" t="s">
        <v>24</v>
      </c>
      <c r="D15" s="578">
        <v>0</v>
      </c>
      <c r="E15" s="578">
        <f>F15*(2/12)</f>
        <v>833.33333333333326</v>
      </c>
      <c r="F15" s="578">
        <v>5000</v>
      </c>
      <c r="G15" s="578">
        <f t="shared" ref="G15:AH15" si="22">F15*(1+Inf)</f>
        <v>5150</v>
      </c>
      <c r="H15" s="578">
        <f t="shared" si="22"/>
        <v>5304.5</v>
      </c>
      <c r="I15" s="578">
        <f t="shared" si="22"/>
        <v>5463.6350000000002</v>
      </c>
      <c r="J15" s="578">
        <f t="shared" si="22"/>
        <v>5627.5440500000004</v>
      </c>
      <c r="K15" s="578">
        <f t="shared" si="22"/>
        <v>5796.3703715000001</v>
      </c>
      <c r="L15" s="578">
        <f t="shared" si="22"/>
        <v>5970.2614826449999</v>
      </c>
      <c r="M15" s="578">
        <f t="shared" si="22"/>
        <v>6149.3693271243501</v>
      </c>
      <c r="N15" s="578">
        <f t="shared" si="22"/>
        <v>6333.8504069380806</v>
      </c>
      <c r="O15" s="578">
        <f t="shared" si="22"/>
        <v>6523.865919146223</v>
      </c>
      <c r="P15" s="578">
        <f t="shared" si="22"/>
        <v>6719.5818967206096</v>
      </c>
      <c r="Q15" s="578">
        <f t="shared" si="22"/>
        <v>6921.1693536222283</v>
      </c>
      <c r="R15" s="578">
        <f t="shared" si="22"/>
        <v>7128.8044342308949</v>
      </c>
      <c r="S15" s="578">
        <f t="shared" si="22"/>
        <v>7342.6685672578224</v>
      </c>
      <c r="T15" s="578">
        <f t="shared" si="22"/>
        <v>7562.9486242755574</v>
      </c>
      <c r="U15" s="578">
        <f t="shared" si="22"/>
        <v>7789.8370830038248</v>
      </c>
      <c r="V15" s="578">
        <f t="shared" si="22"/>
        <v>8023.53219549394</v>
      </c>
      <c r="W15" s="578">
        <f t="shared" si="22"/>
        <v>8264.2381613587586</v>
      </c>
      <c r="X15" s="578">
        <f t="shared" si="22"/>
        <v>8512.1653061995221</v>
      </c>
      <c r="Y15" s="578">
        <f t="shared" si="22"/>
        <v>8767.5302653855088</v>
      </c>
      <c r="Z15" s="578">
        <f t="shared" si="22"/>
        <v>9030.5561733470749</v>
      </c>
      <c r="AA15" s="578">
        <f t="shared" si="22"/>
        <v>9301.4728585474877</v>
      </c>
      <c r="AB15" s="578">
        <f t="shared" si="22"/>
        <v>9580.5170443039133</v>
      </c>
      <c r="AC15" s="578">
        <f t="shared" si="22"/>
        <v>9867.9325556330314</v>
      </c>
      <c r="AD15" s="578">
        <f t="shared" si="22"/>
        <v>10163.970532302023</v>
      </c>
      <c r="AE15" s="578">
        <f t="shared" si="22"/>
        <v>10468.889648271084</v>
      </c>
      <c r="AF15" s="578">
        <f t="shared" si="22"/>
        <v>10782.956337719217</v>
      </c>
      <c r="AG15" s="578">
        <f t="shared" si="22"/>
        <v>11106.445027850794</v>
      </c>
      <c r="AH15" s="578">
        <f t="shared" si="22"/>
        <v>11439.638378686317</v>
      </c>
      <c r="AI15" s="578">
        <f t="shared" si="8"/>
        <v>11782.827530046907</v>
      </c>
      <c r="AJ15" s="578">
        <f t="shared" si="9"/>
        <v>12136.312355948314</v>
      </c>
      <c r="AK15" s="578">
        <f t="shared" si="10"/>
        <v>12500.401726626764</v>
      </c>
      <c r="AL15" s="578">
        <f t="shared" si="11"/>
        <v>12875.413778425567</v>
      </c>
      <c r="AM15" s="578">
        <f t="shared" si="12"/>
        <v>13261.676191778335</v>
      </c>
      <c r="AN15" s="578">
        <f t="shared" si="13"/>
        <v>13659.526477531686</v>
      </c>
      <c r="AO15" s="578">
        <f t="shared" si="14"/>
        <v>14069.312271857638</v>
      </c>
      <c r="AP15" s="578">
        <f t="shared" si="15"/>
        <v>14491.391640013368</v>
      </c>
      <c r="AQ15" s="578">
        <f t="shared" si="16"/>
        <v>14926.133389213768</v>
      </c>
      <c r="AR15" s="578">
        <f t="shared" si="17"/>
        <v>15373.917390890181</v>
      </c>
      <c r="AS15" s="578">
        <f t="shared" si="18"/>
        <v>15835.134912616886</v>
      </c>
      <c r="AT15" s="578">
        <f t="shared" si="19"/>
        <v>16310.188959995394</v>
      </c>
      <c r="AU15" s="578">
        <f t="shared" si="20"/>
        <v>16799.494628795255</v>
      </c>
    </row>
    <row r="16" spans="1:47" s="538" customFormat="1" ht="11.5" outlineLevel="2" x14ac:dyDescent="0.25">
      <c r="A16" s="581"/>
      <c r="B16" s="582"/>
      <c r="C16" s="538" t="s">
        <v>12</v>
      </c>
      <c r="D16" s="578">
        <v>0</v>
      </c>
      <c r="E16" s="578">
        <f>F16*(2/12)</f>
        <v>833.33333333333326</v>
      </c>
      <c r="F16" s="578">
        <v>5000</v>
      </c>
      <c r="G16" s="578">
        <f t="shared" ref="G16:AH16" si="23">F16*(1+Inf)</f>
        <v>5150</v>
      </c>
      <c r="H16" s="578">
        <f t="shared" si="23"/>
        <v>5304.5</v>
      </c>
      <c r="I16" s="578">
        <f t="shared" si="23"/>
        <v>5463.6350000000002</v>
      </c>
      <c r="J16" s="578">
        <f t="shared" si="23"/>
        <v>5627.5440500000004</v>
      </c>
      <c r="K16" s="578">
        <f t="shared" si="23"/>
        <v>5796.3703715000001</v>
      </c>
      <c r="L16" s="578">
        <f t="shared" si="23"/>
        <v>5970.2614826449999</v>
      </c>
      <c r="M16" s="578">
        <f t="shared" si="23"/>
        <v>6149.3693271243501</v>
      </c>
      <c r="N16" s="578">
        <f t="shared" si="23"/>
        <v>6333.8504069380806</v>
      </c>
      <c r="O16" s="578">
        <f t="shared" si="23"/>
        <v>6523.865919146223</v>
      </c>
      <c r="P16" s="578">
        <f t="shared" si="23"/>
        <v>6719.5818967206096</v>
      </c>
      <c r="Q16" s="578">
        <f t="shared" si="23"/>
        <v>6921.1693536222283</v>
      </c>
      <c r="R16" s="578">
        <f t="shared" si="23"/>
        <v>7128.8044342308949</v>
      </c>
      <c r="S16" s="578">
        <f t="shared" si="23"/>
        <v>7342.6685672578224</v>
      </c>
      <c r="T16" s="578">
        <f t="shared" si="23"/>
        <v>7562.9486242755574</v>
      </c>
      <c r="U16" s="578">
        <f t="shared" si="23"/>
        <v>7789.8370830038248</v>
      </c>
      <c r="V16" s="578">
        <f t="shared" si="23"/>
        <v>8023.53219549394</v>
      </c>
      <c r="W16" s="578">
        <f t="shared" si="23"/>
        <v>8264.2381613587586</v>
      </c>
      <c r="X16" s="578">
        <f t="shared" si="23"/>
        <v>8512.1653061995221</v>
      </c>
      <c r="Y16" s="578">
        <f t="shared" si="23"/>
        <v>8767.5302653855088</v>
      </c>
      <c r="Z16" s="578">
        <f t="shared" si="23"/>
        <v>9030.5561733470749</v>
      </c>
      <c r="AA16" s="578">
        <f t="shared" si="23"/>
        <v>9301.4728585474877</v>
      </c>
      <c r="AB16" s="578">
        <f t="shared" si="23"/>
        <v>9580.5170443039133</v>
      </c>
      <c r="AC16" s="578">
        <f t="shared" si="23"/>
        <v>9867.9325556330314</v>
      </c>
      <c r="AD16" s="578">
        <f t="shared" si="23"/>
        <v>10163.970532302023</v>
      </c>
      <c r="AE16" s="578">
        <f t="shared" si="23"/>
        <v>10468.889648271084</v>
      </c>
      <c r="AF16" s="578">
        <f t="shared" si="23"/>
        <v>10782.956337719217</v>
      </c>
      <c r="AG16" s="578">
        <f t="shared" si="23"/>
        <v>11106.445027850794</v>
      </c>
      <c r="AH16" s="578">
        <f t="shared" si="23"/>
        <v>11439.638378686317</v>
      </c>
      <c r="AI16" s="578">
        <f t="shared" si="8"/>
        <v>11782.827530046907</v>
      </c>
      <c r="AJ16" s="578">
        <f t="shared" si="9"/>
        <v>12136.312355948314</v>
      </c>
      <c r="AK16" s="578">
        <f t="shared" si="10"/>
        <v>12500.401726626764</v>
      </c>
      <c r="AL16" s="578">
        <f t="shared" si="11"/>
        <v>12875.413778425567</v>
      </c>
      <c r="AM16" s="578">
        <f t="shared" si="12"/>
        <v>13261.676191778335</v>
      </c>
      <c r="AN16" s="578">
        <f t="shared" si="13"/>
        <v>13659.526477531686</v>
      </c>
      <c r="AO16" s="578">
        <f t="shared" si="14"/>
        <v>14069.312271857638</v>
      </c>
      <c r="AP16" s="578">
        <f t="shared" si="15"/>
        <v>14491.391640013368</v>
      </c>
      <c r="AQ16" s="578">
        <f t="shared" si="16"/>
        <v>14926.133389213768</v>
      </c>
      <c r="AR16" s="578">
        <f t="shared" si="17"/>
        <v>15373.917390890181</v>
      </c>
      <c r="AS16" s="578">
        <f t="shared" si="18"/>
        <v>15835.134912616886</v>
      </c>
      <c r="AT16" s="578">
        <f t="shared" si="19"/>
        <v>16310.188959995394</v>
      </c>
      <c r="AU16" s="578">
        <f t="shared" si="20"/>
        <v>16799.494628795255</v>
      </c>
    </row>
    <row r="17" spans="1:47" s="538" customFormat="1" ht="11.5" outlineLevel="2" x14ac:dyDescent="0.25">
      <c r="A17" s="581"/>
      <c r="B17" s="582"/>
      <c r="C17" s="538" t="s">
        <v>26</v>
      </c>
      <c r="D17" s="578">
        <v>0</v>
      </c>
      <c r="E17" s="578">
        <f>F17*(2/12)</f>
        <v>833.33333333333326</v>
      </c>
      <c r="F17" s="578">
        <v>5000</v>
      </c>
      <c r="G17" s="578">
        <f t="shared" ref="G17:AH17" si="24">F17*(1+Inf)</f>
        <v>5150</v>
      </c>
      <c r="H17" s="578">
        <f t="shared" si="24"/>
        <v>5304.5</v>
      </c>
      <c r="I17" s="578">
        <f t="shared" si="24"/>
        <v>5463.6350000000002</v>
      </c>
      <c r="J17" s="578">
        <f t="shared" si="24"/>
        <v>5627.5440500000004</v>
      </c>
      <c r="K17" s="578">
        <f t="shared" si="24"/>
        <v>5796.3703715000001</v>
      </c>
      <c r="L17" s="578">
        <f t="shared" si="24"/>
        <v>5970.2614826449999</v>
      </c>
      <c r="M17" s="578">
        <f t="shared" si="24"/>
        <v>6149.3693271243501</v>
      </c>
      <c r="N17" s="578">
        <f t="shared" si="24"/>
        <v>6333.8504069380806</v>
      </c>
      <c r="O17" s="578">
        <f t="shared" si="24"/>
        <v>6523.865919146223</v>
      </c>
      <c r="P17" s="578">
        <f t="shared" si="24"/>
        <v>6719.5818967206096</v>
      </c>
      <c r="Q17" s="578">
        <f t="shared" si="24"/>
        <v>6921.1693536222283</v>
      </c>
      <c r="R17" s="578">
        <f t="shared" si="24"/>
        <v>7128.8044342308949</v>
      </c>
      <c r="S17" s="578">
        <f t="shared" si="24"/>
        <v>7342.6685672578224</v>
      </c>
      <c r="T17" s="578">
        <f t="shared" si="24"/>
        <v>7562.9486242755574</v>
      </c>
      <c r="U17" s="578">
        <f t="shared" si="24"/>
        <v>7789.8370830038248</v>
      </c>
      <c r="V17" s="578">
        <f t="shared" si="24"/>
        <v>8023.53219549394</v>
      </c>
      <c r="W17" s="578">
        <f t="shared" si="24"/>
        <v>8264.2381613587586</v>
      </c>
      <c r="X17" s="578">
        <f t="shared" si="24"/>
        <v>8512.1653061995221</v>
      </c>
      <c r="Y17" s="578">
        <f t="shared" si="24"/>
        <v>8767.5302653855088</v>
      </c>
      <c r="Z17" s="578">
        <f t="shared" si="24"/>
        <v>9030.5561733470749</v>
      </c>
      <c r="AA17" s="578">
        <f t="shared" si="24"/>
        <v>9301.4728585474877</v>
      </c>
      <c r="AB17" s="578">
        <f t="shared" si="24"/>
        <v>9580.5170443039133</v>
      </c>
      <c r="AC17" s="578">
        <f t="shared" si="24"/>
        <v>9867.9325556330314</v>
      </c>
      <c r="AD17" s="578">
        <f t="shared" si="24"/>
        <v>10163.970532302023</v>
      </c>
      <c r="AE17" s="578">
        <f t="shared" si="24"/>
        <v>10468.889648271084</v>
      </c>
      <c r="AF17" s="578">
        <f t="shared" si="24"/>
        <v>10782.956337719217</v>
      </c>
      <c r="AG17" s="578">
        <f t="shared" si="24"/>
        <v>11106.445027850794</v>
      </c>
      <c r="AH17" s="578">
        <f t="shared" si="24"/>
        <v>11439.638378686317</v>
      </c>
      <c r="AI17" s="578">
        <f t="shared" si="8"/>
        <v>11782.827530046907</v>
      </c>
      <c r="AJ17" s="578">
        <f t="shared" si="9"/>
        <v>12136.312355948314</v>
      </c>
      <c r="AK17" s="578">
        <f t="shared" si="10"/>
        <v>12500.401726626764</v>
      </c>
      <c r="AL17" s="578">
        <f t="shared" si="11"/>
        <v>12875.413778425567</v>
      </c>
      <c r="AM17" s="578">
        <f t="shared" si="12"/>
        <v>13261.676191778335</v>
      </c>
      <c r="AN17" s="578">
        <f t="shared" si="13"/>
        <v>13659.526477531686</v>
      </c>
      <c r="AO17" s="578">
        <f t="shared" si="14"/>
        <v>14069.312271857638</v>
      </c>
      <c r="AP17" s="578">
        <f t="shared" si="15"/>
        <v>14491.391640013368</v>
      </c>
      <c r="AQ17" s="578">
        <f t="shared" si="16"/>
        <v>14926.133389213768</v>
      </c>
      <c r="AR17" s="578">
        <f t="shared" si="17"/>
        <v>15373.917390890181</v>
      </c>
      <c r="AS17" s="578">
        <f t="shared" si="18"/>
        <v>15835.134912616886</v>
      </c>
      <c r="AT17" s="578">
        <f t="shared" si="19"/>
        <v>16310.188959995394</v>
      </c>
      <c r="AU17" s="578">
        <f t="shared" si="20"/>
        <v>16799.494628795255</v>
      </c>
    </row>
    <row r="18" spans="1:47" s="538" customFormat="1" ht="11.5" outlineLevel="2" x14ac:dyDescent="0.25">
      <c r="A18" s="581"/>
      <c r="B18" s="582"/>
      <c r="C18" s="538" t="s">
        <v>357</v>
      </c>
      <c r="D18" s="578">
        <v>0</v>
      </c>
      <c r="E18" s="578">
        <f>150*2</f>
        <v>300</v>
      </c>
      <c r="F18" s="578">
        <f>150*12</f>
        <v>1800</v>
      </c>
      <c r="G18" s="578">
        <f>F18*(1+Inf)</f>
        <v>1854</v>
      </c>
      <c r="H18" s="578">
        <f t="shared" ref="H18:AH18" si="25">G18*(1+Inf)</f>
        <v>1909.6200000000001</v>
      </c>
      <c r="I18" s="578">
        <f t="shared" si="25"/>
        <v>1966.9086000000002</v>
      </c>
      <c r="J18" s="578">
        <f t="shared" si="25"/>
        <v>2025.9158580000003</v>
      </c>
      <c r="K18" s="578">
        <f t="shared" si="25"/>
        <v>2086.6933337400005</v>
      </c>
      <c r="L18" s="578">
        <f t="shared" si="25"/>
        <v>2149.2941337522007</v>
      </c>
      <c r="M18" s="578">
        <f t="shared" si="25"/>
        <v>2213.7729577647669</v>
      </c>
      <c r="N18" s="578">
        <f t="shared" si="25"/>
        <v>2280.1861464977101</v>
      </c>
      <c r="O18" s="578">
        <f t="shared" si="25"/>
        <v>2348.5917308926414</v>
      </c>
      <c r="P18" s="578">
        <f t="shared" si="25"/>
        <v>2419.0494828194205</v>
      </c>
      <c r="Q18" s="578">
        <f t="shared" si="25"/>
        <v>2491.620967304003</v>
      </c>
      <c r="R18" s="578">
        <f t="shared" si="25"/>
        <v>2566.369596323123</v>
      </c>
      <c r="S18" s="578">
        <f t="shared" si="25"/>
        <v>2643.360684212817</v>
      </c>
      <c r="T18" s="578">
        <f t="shared" si="25"/>
        <v>2722.6615047392015</v>
      </c>
      <c r="U18" s="578">
        <f t="shared" si="25"/>
        <v>2804.3413498813775</v>
      </c>
      <c r="V18" s="578">
        <f t="shared" si="25"/>
        <v>2888.4715903778188</v>
      </c>
      <c r="W18" s="578">
        <f t="shared" si="25"/>
        <v>2975.1257380891534</v>
      </c>
      <c r="X18" s="578">
        <f t="shared" si="25"/>
        <v>3064.3795102318281</v>
      </c>
      <c r="Y18" s="578">
        <f t="shared" si="25"/>
        <v>3156.3108955387829</v>
      </c>
      <c r="Z18" s="578">
        <f t="shared" si="25"/>
        <v>3251.0002224049463</v>
      </c>
      <c r="AA18" s="578">
        <f t="shared" si="25"/>
        <v>3348.5302290770946</v>
      </c>
      <c r="AB18" s="578">
        <f t="shared" si="25"/>
        <v>3448.9861359494075</v>
      </c>
      <c r="AC18" s="578">
        <f t="shared" si="25"/>
        <v>3552.45572002789</v>
      </c>
      <c r="AD18" s="578">
        <f t="shared" si="25"/>
        <v>3659.0293916287269</v>
      </c>
      <c r="AE18" s="578">
        <f t="shared" si="25"/>
        <v>3768.8002733775888</v>
      </c>
      <c r="AF18" s="578">
        <f t="shared" si="25"/>
        <v>3881.8642815789167</v>
      </c>
      <c r="AG18" s="578">
        <f t="shared" si="25"/>
        <v>3998.3202100262843</v>
      </c>
      <c r="AH18" s="578">
        <f t="shared" si="25"/>
        <v>4118.2698163270725</v>
      </c>
      <c r="AI18" s="578">
        <f t="shared" si="8"/>
        <v>4241.8179108168852</v>
      </c>
      <c r="AJ18" s="578">
        <f t="shared" si="9"/>
        <v>4369.0724481413918</v>
      </c>
      <c r="AK18" s="578">
        <f t="shared" si="10"/>
        <v>4500.144621585634</v>
      </c>
      <c r="AL18" s="578">
        <f t="shared" si="11"/>
        <v>4635.1489602332031</v>
      </c>
      <c r="AM18" s="578">
        <f t="shared" si="12"/>
        <v>4774.2034290401989</v>
      </c>
      <c r="AN18" s="578">
        <f t="shared" si="13"/>
        <v>4917.4295319114053</v>
      </c>
      <c r="AO18" s="578">
        <f t="shared" si="14"/>
        <v>5064.9524178687479</v>
      </c>
      <c r="AP18" s="578">
        <f t="shared" si="15"/>
        <v>5216.9009904048107</v>
      </c>
      <c r="AQ18" s="578">
        <f t="shared" si="16"/>
        <v>5373.4080201169554</v>
      </c>
      <c r="AR18" s="578">
        <f t="shared" si="17"/>
        <v>5534.6102607204639</v>
      </c>
      <c r="AS18" s="578">
        <f t="shared" si="18"/>
        <v>5700.6485685420776</v>
      </c>
      <c r="AT18" s="578">
        <f t="shared" si="19"/>
        <v>5871.6680255983401</v>
      </c>
      <c r="AU18" s="578">
        <f t="shared" si="20"/>
        <v>6047.8180663662906</v>
      </c>
    </row>
    <row r="19" spans="1:47" s="538" customFormat="1" ht="11.5" outlineLevel="2" x14ac:dyDescent="0.25">
      <c r="A19" s="581"/>
      <c r="B19" s="582"/>
      <c r="C19" s="538" t="s">
        <v>520</v>
      </c>
      <c r="D19" s="578">
        <v>0</v>
      </c>
      <c r="E19" s="578">
        <f>F19*(2/12)</f>
        <v>250</v>
      </c>
      <c r="F19" s="578">
        <v>1500</v>
      </c>
      <c r="G19" s="578">
        <f t="shared" ref="G19:AH19" si="26">F19*(1+Inf)</f>
        <v>1545</v>
      </c>
      <c r="H19" s="578">
        <f t="shared" si="26"/>
        <v>1591.3500000000001</v>
      </c>
      <c r="I19" s="578">
        <f t="shared" si="26"/>
        <v>1639.0905000000002</v>
      </c>
      <c r="J19" s="578">
        <f t="shared" si="26"/>
        <v>1688.2632150000004</v>
      </c>
      <c r="K19" s="578">
        <f t="shared" si="26"/>
        <v>1738.9111114500004</v>
      </c>
      <c r="L19" s="578">
        <f t="shared" si="26"/>
        <v>1791.0784447935005</v>
      </c>
      <c r="M19" s="578">
        <f t="shared" si="26"/>
        <v>1844.8107981373055</v>
      </c>
      <c r="N19" s="578">
        <f t="shared" si="26"/>
        <v>1900.1551220814247</v>
      </c>
      <c r="O19" s="578">
        <f t="shared" si="26"/>
        <v>1957.1597757438674</v>
      </c>
      <c r="P19" s="578">
        <f t="shared" si="26"/>
        <v>2015.8745690161834</v>
      </c>
      <c r="Q19" s="578">
        <f t="shared" si="26"/>
        <v>2076.3508060866689</v>
      </c>
      <c r="R19" s="578">
        <f t="shared" si="26"/>
        <v>2138.641330269269</v>
      </c>
      <c r="S19" s="578">
        <f t="shared" si="26"/>
        <v>2202.8005701773473</v>
      </c>
      <c r="T19" s="578">
        <f t="shared" si="26"/>
        <v>2268.8845872826678</v>
      </c>
      <c r="U19" s="578">
        <f t="shared" si="26"/>
        <v>2336.951124901148</v>
      </c>
      <c r="V19" s="578">
        <f t="shared" si="26"/>
        <v>2407.0596586481824</v>
      </c>
      <c r="W19" s="578">
        <f t="shared" si="26"/>
        <v>2479.2714484076282</v>
      </c>
      <c r="X19" s="578">
        <f t="shared" si="26"/>
        <v>2553.6495918598571</v>
      </c>
      <c r="Y19" s="578">
        <f t="shared" si="26"/>
        <v>2630.2590796156528</v>
      </c>
      <c r="Z19" s="578">
        <f t="shared" si="26"/>
        <v>2709.1668520041226</v>
      </c>
      <c r="AA19" s="578">
        <f t="shared" si="26"/>
        <v>2790.4418575642462</v>
      </c>
      <c r="AB19" s="578">
        <f t="shared" si="26"/>
        <v>2874.1551132911736</v>
      </c>
      <c r="AC19" s="578">
        <f t="shared" si="26"/>
        <v>2960.379766689909</v>
      </c>
      <c r="AD19" s="578">
        <f t="shared" si="26"/>
        <v>3049.1911596906066</v>
      </c>
      <c r="AE19" s="578">
        <f t="shared" si="26"/>
        <v>3140.666894481325</v>
      </c>
      <c r="AF19" s="578">
        <f t="shared" si="26"/>
        <v>3234.886901315765</v>
      </c>
      <c r="AG19" s="578">
        <f t="shared" si="26"/>
        <v>3331.9335083552382</v>
      </c>
      <c r="AH19" s="578">
        <f t="shared" si="26"/>
        <v>3431.8915136058954</v>
      </c>
      <c r="AI19" s="578">
        <f t="shared" si="8"/>
        <v>3534.8482590140725</v>
      </c>
      <c r="AJ19" s="578">
        <f t="shared" si="9"/>
        <v>3640.893706784495</v>
      </c>
      <c r="AK19" s="578">
        <f t="shared" si="10"/>
        <v>3750.1205179880299</v>
      </c>
      <c r="AL19" s="578">
        <f t="shared" si="11"/>
        <v>3862.6241335276709</v>
      </c>
      <c r="AM19" s="578">
        <f t="shared" si="12"/>
        <v>3978.5028575335009</v>
      </c>
      <c r="AN19" s="578">
        <f t="shared" si="13"/>
        <v>4097.8579432595061</v>
      </c>
      <c r="AO19" s="578">
        <f t="shared" si="14"/>
        <v>4220.7936815572912</v>
      </c>
      <c r="AP19" s="578">
        <f t="shared" si="15"/>
        <v>4347.4174920040105</v>
      </c>
      <c r="AQ19" s="578">
        <f t="shared" si="16"/>
        <v>4477.8400167641312</v>
      </c>
      <c r="AR19" s="578">
        <f t="shared" si="17"/>
        <v>4612.1752172670549</v>
      </c>
      <c r="AS19" s="578">
        <f t="shared" si="18"/>
        <v>4750.5404737850668</v>
      </c>
      <c r="AT19" s="578">
        <f t="shared" si="19"/>
        <v>4893.0566879986191</v>
      </c>
      <c r="AU19" s="578">
        <f t="shared" si="20"/>
        <v>5039.8483886385775</v>
      </c>
    </row>
    <row r="20" spans="1:47" s="538" customFormat="1" ht="11.5" outlineLevel="2" x14ac:dyDescent="0.25">
      <c r="A20" s="581"/>
      <c r="B20" s="582"/>
      <c r="C20" s="538" t="s">
        <v>100</v>
      </c>
      <c r="D20" s="578">
        <v>0</v>
      </c>
      <c r="E20" s="578">
        <f>F20*(2/12)</f>
        <v>416.66666666666663</v>
      </c>
      <c r="F20" s="578">
        <v>2500</v>
      </c>
      <c r="G20" s="578">
        <f t="shared" ref="G20:AH20" si="27">F20*(1+Inf)</f>
        <v>2575</v>
      </c>
      <c r="H20" s="578">
        <f t="shared" si="27"/>
        <v>2652.25</v>
      </c>
      <c r="I20" s="578">
        <f t="shared" si="27"/>
        <v>2731.8175000000001</v>
      </c>
      <c r="J20" s="578">
        <f t="shared" si="27"/>
        <v>2813.7720250000002</v>
      </c>
      <c r="K20" s="578">
        <f t="shared" si="27"/>
        <v>2898.1851857500001</v>
      </c>
      <c r="L20" s="578">
        <f t="shared" si="27"/>
        <v>2985.1307413224999</v>
      </c>
      <c r="M20" s="578">
        <f t="shared" si="27"/>
        <v>3074.684663562175</v>
      </c>
      <c r="N20" s="578">
        <f t="shared" si="27"/>
        <v>3166.9252034690403</v>
      </c>
      <c r="O20" s="578">
        <f t="shared" si="27"/>
        <v>3261.9329595731115</v>
      </c>
      <c r="P20" s="578">
        <f t="shared" si="27"/>
        <v>3359.7909483603048</v>
      </c>
      <c r="Q20" s="578">
        <f t="shared" si="27"/>
        <v>3460.5846768111142</v>
      </c>
      <c r="R20" s="578">
        <f t="shared" si="27"/>
        <v>3564.4022171154475</v>
      </c>
      <c r="S20" s="578">
        <f t="shared" si="27"/>
        <v>3671.3342836289112</v>
      </c>
      <c r="T20" s="578">
        <f t="shared" si="27"/>
        <v>3781.4743121377787</v>
      </c>
      <c r="U20" s="578">
        <f t="shared" si="27"/>
        <v>3894.9185415019124</v>
      </c>
      <c r="V20" s="578">
        <f t="shared" si="27"/>
        <v>4011.76609774697</v>
      </c>
      <c r="W20" s="578">
        <f t="shared" si="27"/>
        <v>4132.1190806793793</v>
      </c>
      <c r="X20" s="578">
        <f t="shared" si="27"/>
        <v>4256.082653099761</v>
      </c>
      <c r="Y20" s="578">
        <f t="shared" si="27"/>
        <v>4383.7651326927544</v>
      </c>
      <c r="Z20" s="578">
        <f t="shared" si="27"/>
        <v>4515.2780866735375</v>
      </c>
      <c r="AA20" s="578">
        <f t="shared" si="27"/>
        <v>4650.7364292737439</v>
      </c>
      <c r="AB20" s="578">
        <f t="shared" si="27"/>
        <v>4790.2585221519566</v>
      </c>
      <c r="AC20" s="578">
        <f t="shared" si="27"/>
        <v>4933.9662778165157</v>
      </c>
      <c r="AD20" s="578">
        <f t="shared" si="27"/>
        <v>5081.9852661510113</v>
      </c>
      <c r="AE20" s="578">
        <f t="shared" si="27"/>
        <v>5234.4448241355421</v>
      </c>
      <c r="AF20" s="578">
        <f t="shared" si="27"/>
        <v>5391.4781688596086</v>
      </c>
      <c r="AG20" s="578">
        <f t="shared" si="27"/>
        <v>5553.2225139253969</v>
      </c>
      <c r="AH20" s="578">
        <f t="shared" si="27"/>
        <v>5719.8191893431585</v>
      </c>
      <c r="AI20" s="578">
        <f t="shared" si="8"/>
        <v>5891.4137650234534</v>
      </c>
      <c r="AJ20" s="578">
        <f t="shared" si="9"/>
        <v>6068.1561779741569</v>
      </c>
      <c r="AK20" s="578">
        <f t="shared" si="10"/>
        <v>6250.2008633133819</v>
      </c>
      <c r="AL20" s="578">
        <f t="shared" si="11"/>
        <v>6437.7068892127836</v>
      </c>
      <c r="AM20" s="578">
        <f t="shared" si="12"/>
        <v>6630.8380958891676</v>
      </c>
      <c r="AN20" s="578">
        <f t="shared" si="13"/>
        <v>6829.7632387658432</v>
      </c>
      <c r="AO20" s="578">
        <f t="shared" si="14"/>
        <v>7034.6561359288189</v>
      </c>
      <c r="AP20" s="578">
        <f t="shared" si="15"/>
        <v>7245.6958200066838</v>
      </c>
      <c r="AQ20" s="578">
        <f t="shared" si="16"/>
        <v>7463.0666946068841</v>
      </c>
      <c r="AR20" s="578">
        <f t="shared" si="17"/>
        <v>7686.9586954450906</v>
      </c>
      <c r="AS20" s="578">
        <f t="shared" si="18"/>
        <v>7917.5674563084431</v>
      </c>
      <c r="AT20" s="578">
        <f t="shared" si="19"/>
        <v>8155.0944799976969</v>
      </c>
      <c r="AU20" s="578">
        <f t="shared" si="20"/>
        <v>8399.7473143976276</v>
      </c>
    </row>
    <row r="21" spans="1:47" s="538" customFormat="1" ht="11.5" outlineLevel="2" x14ac:dyDescent="0.25">
      <c r="A21" s="581"/>
      <c r="B21" s="582"/>
      <c r="C21" s="538" t="s">
        <v>103</v>
      </c>
      <c r="D21" s="578">
        <v>0</v>
      </c>
      <c r="E21" s="578">
        <v>0</v>
      </c>
      <c r="F21" s="578">
        <v>0</v>
      </c>
      <c r="G21" s="578">
        <v>0</v>
      </c>
      <c r="H21" s="578">
        <v>0</v>
      </c>
      <c r="I21" s="578">
        <v>0</v>
      </c>
      <c r="J21" s="578">
        <v>0</v>
      </c>
      <c r="K21" s="578">
        <v>0</v>
      </c>
      <c r="L21" s="578">
        <v>0</v>
      </c>
      <c r="M21" s="578">
        <v>0</v>
      </c>
      <c r="N21" s="578"/>
      <c r="O21" s="578">
        <f>100000*(1+Inf)^(O2-2021)</f>
        <v>146853.3713451564</v>
      </c>
      <c r="P21" s="578">
        <f t="shared" ref="P21:AH21" si="28">O21*(1+Inf)</f>
        <v>151258.9724855111</v>
      </c>
      <c r="Q21" s="578">
        <f t="shared" si="28"/>
        <v>155796.74166007643</v>
      </c>
      <c r="R21" s="578">
        <f t="shared" si="28"/>
        <v>160470.64390987874</v>
      </c>
      <c r="S21" s="578">
        <f t="shared" si="28"/>
        <v>165284.76322717511</v>
      </c>
      <c r="T21" s="578">
        <f t="shared" si="28"/>
        <v>170243.30612399036</v>
      </c>
      <c r="U21" s="578">
        <f t="shared" si="28"/>
        <v>175350.60530771007</v>
      </c>
      <c r="V21" s="578">
        <f t="shared" si="28"/>
        <v>180611.12346694138</v>
      </c>
      <c r="W21" s="578">
        <f t="shared" si="28"/>
        <v>186029.45717094964</v>
      </c>
      <c r="X21" s="578">
        <f t="shared" si="28"/>
        <v>191610.34088607813</v>
      </c>
      <c r="Y21" s="578">
        <f t="shared" si="28"/>
        <v>197358.65111266047</v>
      </c>
      <c r="Z21" s="578">
        <f t="shared" si="28"/>
        <v>203279.41064604028</v>
      </c>
      <c r="AA21" s="578">
        <f t="shared" si="28"/>
        <v>209377.79296542151</v>
      </c>
      <c r="AB21" s="578">
        <f t="shared" si="28"/>
        <v>215659.12675438417</v>
      </c>
      <c r="AC21" s="578">
        <f t="shared" si="28"/>
        <v>222128.9005570157</v>
      </c>
      <c r="AD21" s="578">
        <f t="shared" si="28"/>
        <v>228792.76757372619</v>
      </c>
      <c r="AE21" s="578">
        <f t="shared" si="28"/>
        <v>235656.55060093798</v>
      </c>
      <c r="AF21" s="578">
        <f t="shared" si="28"/>
        <v>242726.24711896613</v>
      </c>
      <c r="AG21" s="578">
        <f t="shared" si="28"/>
        <v>250008.03453253512</v>
      </c>
      <c r="AH21" s="578">
        <f t="shared" si="28"/>
        <v>257508.27556851119</v>
      </c>
      <c r="AI21" s="578">
        <f t="shared" si="8"/>
        <v>265233.52383556654</v>
      </c>
      <c r="AJ21" s="578">
        <f t="shared" si="9"/>
        <v>273190.52955063351</v>
      </c>
      <c r="AK21" s="578">
        <f t="shared" si="10"/>
        <v>281386.24543715251</v>
      </c>
      <c r="AL21" s="578">
        <f t="shared" si="11"/>
        <v>289827.83280026709</v>
      </c>
      <c r="AM21" s="578">
        <f t="shared" si="12"/>
        <v>298522.66778427514</v>
      </c>
      <c r="AN21" s="578">
        <f t="shared" si="13"/>
        <v>307478.34781780338</v>
      </c>
      <c r="AO21" s="578">
        <f t="shared" si="14"/>
        <v>316702.69825233752</v>
      </c>
      <c r="AP21" s="578">
        <f t="shared" si="15"/>
        <v>326203.77919990767</v>
      </c>
      <c r="AQ21" s="578">
        <f t="shared" si="16"/>
        <v>335989.8925759049</v>
      </c>
      <c r="AR21" s="578">
        <f t="shared" si="17"/>
        <v>346069.58935318206</v>
      </c>
      <c r="AS21" s="578">
        <f t="shared" si="18"/>
        <v>356451.67703377752</v>
      </c>
      <c r="AT21" s="578">
        <f t="shared" si="19"/>
        <v>367145.22734479088</v>
      </c>
      <c r="AU21" s="578">
        <f t="shared" si="20"/>
        <v>378159.58416513464</v>
      </c>
    </row>
    <row r="22" spans="1:47" s="538" customFormat="1" ht="11.5" outlineLevel="2" x14ac:dyDescent="0.25">
      <c r="A22" s="581"/>
      <c r="B22" s="582"/>
      <c r="C22" s="538" t="s">
        <v>101</v>
      </c>
      <c r="D22" s="578">
        <v>0</v>
      </c>
      <c r="E22" s="578">
        <f>F22*(2/12)</f>
        <v>8333.3333333333321</v>
      </c>
      <c r="F22" s="578">
        <v>50000</v>
      </c>
      <c r="G22" s="578">
        <f t="shared" ref="G22:M22" si="29">F22*(1+Inf)</f>
        <v>51500</v>
      </c>
      <c r="H22" s="578">
        <f t="shared" si="29"/>
        <v>53045</v>
      </c>
      <c r="I22" s="578">
        <f t="shared" si="29"/>
        <v>54636.35</v>
      </c>
      <c r="J22" s="578">
        <f t="shared" si="29"/>
        <v>56275.440499999997</v>
      </c>
      <c r="K22" s="578">
        <f t="shared" si="29"/>
        <v>57963.703714999996</v>
      </c>
      <c r="L22" s="578">
        <f t="shared" si="29"/>
        <v>59702.614826450001</v>
      </c>
      <c r="M22" s="578">
        <f t="shared" si="29"/>
        <v>61493.693271243501</v>
      </c>
      <c r="N22" s="578">
        <f>M22*(1+Inf)+25000</f>
        <v>88338.504069380811</v>
      </c>
      <c r="O22" s="578">
        <f t="shared" ref="O22:AH22" si="30">N22*(1+Inf)</f>
        <v>90988.65919146224</v>
      </c>
      <c r="P22" s="578">
        <f t="shared" si="30"/>
        <v>93718.318967206113</v>
      </c>
      <c r="Q22" s="578">
        <f t="shared" si="30"/>
        <v>96529.868536222304</v>
      </c>
      <c r="R22" s="578">
        <f t="shared" si="30"/>
        <v>99425.764592308973</v>
      </c>
      <c r="S22" s="578">
        <f t="shared" si="30"/>
        <v>102408.53753007825</v>
      </c>
      <c r="T22" s="578">
        <f t="shared" si="30"/>
        <v>105480.7936559806</v>
      </c>
      <c r="U22" s="578">
        <f t="shared" si="30"/>
        <v>108645.21746566001</v>
      </c>
      <c r="V22" s="578">
        <f t="shared" si="30"/>
        <v>111904.57398962982</v>
      </c>
      <c r="W22" s="578">
        <f t="shared" si="30"/>
        <v>115261.71120931872</v>
      </c>
      <c r="X22" s="578">
        <f t="shared" si="30"/>
        <v>118719.56254559828</v>
      </c>
      <c r="Y22" s="578">
        <f t="shared" si="30"/>
        <v>122281.14942196623</v>
      </c>
      <c r="Z22" s="578">
        <f t="shared" si="30"/>
        <v>125949.58390462522</v>
      </c>
      <c r="AA22" s="578">
        <f t="shared" si="30"/>
        <v>129728.07142176398</v>
      </c>
      <c r="AB22" s="578">
        <f t="shared" si="30"/>
        <v>133619.9135644169</v>
      </c>
      <c r="AC22" s="578">
        <f t="shared" si="30"/>
        <v>137628.5109713494</v>
      </c>
      <c r="AD22" s="578">
        <f t="shared" si="30"/>
        <v>141757.3663004899</v>
      </c>
      <c r="AE22" s="578">
        <f t="shared" si="30"/>
        <v>146010.08728950459</v>
      </c>
      <c r="AF22" s="578">
        <f t="shared" si="30"/>
        <v>150390.38990818974</v>
      </c>
      <c r="AG22" s="578">
        <f t="shared" si="30"/>
        <v>154902.10160543543</v>
      </c>
      <c r="AH22" s="578">
        <f t="shared" si="30"/>
        <v>159549.16465359851</v>
      </c>
      <c r="AI22" s="578">
        <f t="shared" si="8"/>
        <v>164335.63959320646</v>
      </c>
      <c r="AJ22" s="578">
        <f t="shared" si="9"/>
        <v>169265.70878100267</v>
      </c>
      <c r="AK22" s="578">
        <f t="shared" si="10"/>
        <v>174343.68004443275</v>
      </c>
      <c r="AL22" s="578">
        <f t="shared" si="11"/>
        <v>179573.99044576575</v>
      </c>
      <c r="AM22" s="578">
        <f t="shared" si="12"/>
        <v>184961.21015913872</v>
      </c>
      <c r="AN22" s="578">
        <f t="shared" si="13"/>
        <v>190510.04646391288</v>
      </c>
      <c r="AO22" s="578">
        <f t="shared" si="14"/>
        <v>196225.34785783026</v>
      </c>
      <c r="AP22" s="578">
        <f t="shared" si="15"/>
        <v>202112.10829356516</v>
      </c>
      <c r="AQ22" s="578">
        <f t="shared" si="16"/>
        <v>208175.47154237214</v>
      </c>
      <c r="AR22" s="578">
        <f t="shared" si="17"/>
        <v>214420.7356886433</v>
      </c>
      <c r="AS22" s="578">
        <f t="shared" si="18"/>
        <v>220853.3577593026</v>
      </c>
      <c r="AT22" s="578">
        <f t="shared" si="19"/>
        <v>227478.95849208167</v>
      </c>
      <c r="AU22" s="578">
        <f t="shared" si="20"/>
        <v>234303.32724684413</v>
      </c>
    </row>
    <row r="23" spans="1:47" s="538" customFormat="1" ht="11.5" outlineLevel="2" x14ac:dyDescent="0.25">
      <c r="A23" s="581"/>
      <c r="B23" s="582"/>
      <c r="C23" s="585" t="s">
        <v>40</v>
      </c>
      <c r="D23" s="586">
        <f t="shared" ref="D23:AU23" si="31">SUM(D13:D22)</f>
        <v>0</v>
      </c>
      <c r="E23" s="586">
        <f t="shared" si="31"/>
        <v>13799.999999999998</v>
      </c>
      <c r="F23" s="586">
        <f t="shared" si="31"/>
        <v>82800</v>
      </c>
      <c r="G23" s="586">
        <f t="shared" si="31"/>
        <v>85284</v>
      </c>
      <c r="H23" s="586">
        <f t="shared" si="31"/>
        <v>87842.51999999999</v>
      </c>
      <c r="I23" s="586">
        <f t="shared" si="31"/>
        <v>90477.795599999998</v>
      </c>
      <c r="J23" s="586">
        <f t="shared" si="31"/>
        <v>93192.129467999999</v>
      </c>
      <c r="K23" s="586">
        <f t="shared" si="31"/>
        <v>95987.893352040002</v>
      </c>
      <c r="L23" s="586">
        <f t="shared" si="31"/>
        <v>98867.530152601204</v>
      </c>
      <c r="M23" s="586">
        <f t="shared" si="31"/>
        <v>101833.55605717923</v>
      </c>
      <c r="N23" s="586">
        <f t="shared" si="31"/>
        <v>129888.56273889463</v>
      </c>
      <c r="O23" s="586">
        <f t="shared" si="31"/>
        <v>280638.59096621786</v>
      </c>
      <c r="P23" s="586">
        <f t="shared" si="31"/>
        <v>289057.74869520438</v>
      </c>
      <c r="Q23" s="586">
        <f t="shared" si="31"/>
        <v>297729.48115606053</v>
      </c>
      <c r="R23" s="586">
        <f t="shared" si="31"/>
        <v>306661.36559074238</v>
      </c>
      <c r="S23" s="586">
        <f t="shared" si="31"/>
        <v>315861.20655846468</v>
      </c>
      <c r="T23" s="586">
        <f t="shared" si="31"/>
        <v>325337.04275521863</v>
      </c>
      <c r="U23" s="586">
        <f t="shared" si="31"/>
        <v>335097.15403787518</v>
      </c>
      <c r="V23" s="586">
        <f t="shared" si="31"/>
        <v>345150.06865901145</v>
      </c>
      <c r="W23" s="586">
        <f t="shared" si="31"/>
        <v>355504.57071878179</v>
      </c>
      <c r="X23" s="586">
        <f t="shared" si="31"/>
        <v>366169.70784034528</v>
      </c>
      <c r="Y23" s="586">
        <f t="shared" si="31"/>
        <v>377154.79907555564</v>
      </c>
      <c r="Z23" s="586">
        <f t="shared" si="31"/>
        <v>388469.44304782228</v>
      </c>
      <c r="AA23" s="586">
        <f t="shared" si="31"/>
        <v>400123.52633925702</v>
      </c>
      <c r="AB23" s="586">
        <f t="shared" si="31"/>
        <v>412127.23212943471</v>
      </c>
      <c r="AC23" s="586">
        <f t="shared" si="31"/>
        <v>424491.04909331782</v>
      </c>
      <c r="AD23" s="586">
        <f t="shared" si="31"/>
        <v>437225.78056611738</v>
      </c>
      <c r="AE23" s="586">
        <f t="shared" si="31"/>
        <v>450342.55398310086</v>
      </c>
      <c r="AF23" s="586">
        <f t="shared" si="31"/>
        <v>463852.83060259395</v>
      </c>
      <c r="AG23" s="586">
        <f t="shared" si="31"/>
        <v>477768.41552067176</v>
      </c>
      <c r="AH23" s="586">
        <f t="shared" si="31"/>
        <v>492101.46798629191</v>
      </c>
      <c r="AI23" s="586">
        <f t="shared" si="31"/>
        <v>506864.51202588074</v>
      </c>
      <c r="AJ23" s="586">
        <f t="shared" si="31"/>
        <v>522070.44738665712</v>
      </c>
      <c r="AK23" s="586">
        <f t="shared" si="31"/>
        <v>537732.56080825685</v>
      </c>
      <c r="AL23" s="586">
        <f t="shared" si="31"/>
        <v>553864.53763250459</v>
      </c>
      <c r="AM23" s="586">
        <f t="shared" si="31"/>
        <v>570480.47376147972</v>
      </c>
      <c r="AN23" s="586">
        <f t="shared" si="31"/>
        <v>587594.88797432417</v>
      </c>
      <c r="AO23" s="586">
        <f t="shared" si="31"/>
        <v>605222.73461355385</v>
      </c>
      <c r="AP23" s="586">
        <f t="shared" si="31"/>
        <v>623379.41665196046</v>
      </c>
      <c r="AQ23" s="586">
        <f t="shared" si="31"/>
        <v>642080.79915151931</v>
      </c>
      <c r="AR23" s="586">
        <f t="shared" si="31"/>
        <v>661343.22312606499</v>
      </c>
      <c r="AS23" s="586">
        <f t="shared" si="31"/>
        <v>681183.51981984684</v>
      </c>
      <c r="AT23" s="586">
        <f t="shared" si="31"/>
        <v>701619.02541444241</v>
      </c>
      <c r="AU23" s="586">
        <f t="shared" si="31"/>
        <v>722667.59617687564</v>
      </c>
    </row>
    <row r="24" spans="1:47" s="538" customFormat="1" ht="11.5" outlineLevel="2" x14ac:dyDescent="0.25">
      <c r="A24" s="579" t="s">
        <v>10</v>
      </c>
      <c r="B24" s="580" t="s">
        <v>23</v>
      </c>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row>
    <row r="25" spans="1:47" s="538" customFormat="1" ht="11.5" outlineLevel="2" x14ac:dyDescent="0.25">
      <c r="A25" s="581"/>
      <c r="B25" s="582"/>
      <c r="C25" s="538" t="s">
        <v>58</v>
      </c>
      <c r="D25" s="578">
        <v>0</v>
      </c>
      <c r="E25" s="578">
        <f>F25*(2/12)</f>
        <v>130150.8</v>
      </c>
      <c r="F25" s="578">
        <f>758160*(1+Inf)^(F2-E2)</f>
        <v>780904.8</v>
      </c>
      <c r="G25" s="578">
        <f t="shared" ref="G25:AH25" si="32">F25*(1+Inf)</f>
        <v>804331.94400000002</v>
      </c>
      <c r="H25" s="578">
        <f t="shared" si="32"/>
        <v>828461.90231999999</v>
      </c>
      <c r="I25" s="578">
        <f t="shared" si="32"/>
        <v>853315.75938960002</v>
      </c>
      <c r="J25" s="578">
        <f t="shared" si="32"/>
        <v>878915.23217128799</v>
      </c>
      <c r="K25" s="578">
        <f t="shared" si="32"/>
        <v>905282.68913642666</v>
      </c>
      <c r="L25" s="578">
        <f t="shared" si="32"/>
        <v>932441.16981051944</v>
      </c>
      <c r="M25" s="578">
        <f t="shared" si="32"/>
        <v>960414.40490483504</v>
      </c>
      <c r="N25" s="578">
        <f t="shared" si="32"/>
        <v>989226.83705198008</v>
      </c>
      <c r="O25" s="578">
        <f t="shared" si="32"/>
        <v>1018903.6421635395</v>
      </c>
      <c r="P25" s="578">
        <f t="shared" si="32"/>
        <v>1049470.7514284458</v>
      </c>
      <c r="Q25" s="578">
        <f t="shared" si="32"/>
        <v>1080954.8739712993</v>
      </c>
      <c r="R25" s="578">
        <f t="shared" si="32"/>
        <v>1113383.5201904383</v>
      </c>
      <c r="S25" s="578">
        <f t="shared" si="32"/>
        <v>1146785.0257961515</v>
      </c>
      <c r="T25" s="578">
        <f t="shared" si="32"/>
        <v>1181188.5765700361</v>
      </c>
      <c r="U25" s="578">
        <f t="shared" si="32"/>
        <v>1216624.2338671372</v>
      </c>
      <c r="V25" s="578">
        <f t="shared" si="32"/>
        <v>1253122.9608831513</v>
      </c>
      <c r="W25" s="578">
        <f t="shared" si="32"/>
        <v>1290716.6497096459</v>
      </c>
      <c r="X25" s="578">
        <f t="shared" si="32"/>
        <v>1329438.1492009354</v>
      </c>
      <c r="Y25" s="578">
        <f t="shared" si="32"/>
        <v>1369321.2936769635</v>
      </c>
      <c r="Z25" s="578">
        <f t="shared" si="32"/>
        <v>1410400.9324872724</v>
      </c>
      <c r="AA25" s="578">
        <f t="shared" si="32"/>
        <v>1452712.9604618906</v>
      </c>
      <c r="AB25" s="578">
        <f t="shared" si="32"/>
        <v>1496294.3492757473</v>
      </c>
      <c r="AC25" s="578">
        <f t="shared" si="32"/>
        <v>1541183.1797540197</v>
      </c>
      <c r="AD25" s="578">
        <f t="shared" si="32"/>
        <v>1587418.6751466403</v>
      </c>
      <c r="AE25" s="578">
        <f t="shared" si="32"/>
        <v>1635041.2354010395</v>
      </c>
      <c r="AF25" s="578">
        <f t="shared" si="32"/>
        <v>1684092.4724630706</v>
      </c>
      <c r="AG25" s="578">
        <f t="shared" si="32"/>
        <v>1734615.2466369628</v>
      </c>
      <c r="AH25" s="578">
        <f t="shared" si="32"/>
        <v>1786653.7040360717</v>
      </c>
      <c r="AI25" s="578">
        <f t="shared" ref="AI25:AU25" si="33">AH25*(1+Inf)</f>
        <v>1840253.3151571539</v>
      </c>
      <c r="AJ25" s="578">
        <f t="shared" si="33"/>
        <v>1895460.9146118686</v>
      </c>
      <c r="AK25" s="578">
        <f t="shared" si="33"/>
        <v>1952324.7420502247</v>
      </c>
      <c r="AL25" s="578">
        <f t="shared" si="33"/>
        <v>2010894.4843117315</v>
      </c>
      <c r="AM25" s="578">
        <f t="shared" si="33"/>
        <v>2071221.3188410834</v>
      </c>
      <c r="AN25" s="578">
        <f t="shared" si="33"/>
        <v>2133357.9584063161</v>
      </c>
      <c r="AO25" s="578">
        <f t="shared" si="33"/>
        <v>2197358.6971585057</v>
      </c>
      <c r="AP25" s="578">
        <f t="shared" si="33"/>
        <v>2263279.4580732607</v>
      </c>
      <c r="AQ25" s="578">
        <f t="shared" si="33"/>
        <v>2331177.8418154586</v>
      </c>
      <c r="AR25" s="578">
        <f t="shared" si="33"/>
        <v>2401113.1770699224</v>
      </c>
      <c r="AS25" s="578">
        <f t="shared" si="33"/>
        <v>2473146.5723820203</v>
      </c>
      <c r="AT25" s="578">
        <f t="shared" si="33"/>
        <v>2547340.9695534809</v>
      </c>
      <c r="AU25" s="578">
        <f t="shared" si="33"/>
        <v>2623761.1986400853</v>
      </c>
    </row>
    <row r="26" spans="1:47" s="538" customFormat="1" ht="11.5" outlineLevel="2" x14ac:dyDescent="0.25">
      <c r="A26" s="581"/>
      <c r="B26" s="582"/>
      <c r="C26" s="585" t="s">
        <v>41</v>
      </c>
      <c r="D26" s="586">
        <f t="shared" ref="D26:AU26" si="34">SUM(D25:D25)</f>
        <v>0</v>
      </c>
      <c r="E26" s="586">
        <f t="shared" si="34"/>
        <v>130150.8</v>
      </c>
      <c r="F26" s="586">
        <f t="shared" si="34"/>
        <v>780904.8</v>
      </c>
      <c r="G26" s="586">
        <f t="shared" si="34"/>
        <v>804331.94400000002</v>
      </c>
      <c r="H26" s="586">
        <f t="shared" si="34"/>
        <v>828461.90231999999</v>
      </c>
      <c r="I26" s="586">
        <f t="shared" si="34"/>
        <v>853315.75938960002</v>
      </c>
      <c r="J26" s="586">
        <f t="shared" si="34"/>
        <v>878915.23217128799</v>
      </c>
      <c r="K26" s="586">
        <f t="shared" si="34"/>
        <v>905282.68913642666</v>
      </c>
      <c r="L26" s="586">
        <f t="shared" si="34"/>
        <v>932441.16981051944</v>
      </c>
      <c r="M26" s="586">
        <f t="shared" si="34"/>
        <v>960414.40490483504</v>
      </c>
      <c r="N26" s="586">
        <f t="shared" si="34"/>
        <v>989226.83705198008</v>
      </c>
      <c r="O26" s="586">
        <f t="shared" si="34"/>
        <v>1018903.6421635395</v>
      </c>
      <c r="P26" s="586">
        <f t="shared" si="34"/>
        <v>1049470.7514284458</v>
      </c>
      <c r="Q26" s="586">
        <f t="shared" si="34"/>
        <v>1080954.8739712993</v>
      </c>
      <c r="R26" s="586">
        <f t="shared" si="34"/>
        <v>1113383.5201904383</v>
      </c>
      <c r="S26" s="586">
        <f t="shared" si="34"/>
        <v>1146785.0257961515</v>
      </c>
      <c r="T26" s="586">
        <f t="shared" si="34"/>
        <v>1181188.5765700361</v>
      </c>
      <c r="U26" s="586">
        <f t="shared" si="34"/>
        <v>1216624.2338671372</v>
      </c>
      <c r="V26" s="586">
        <f t="shared" si="34"/>
        <v>1253122.9608831513</v>
      </c>
      <c r="W26" s="586">
        <f t="shared" si="34"/>
        <v>1290716.6497096459</v>
      </c>
      <c r="X26" s="586">
        <f t="shared" si="34"/>
        <v>1329438.1492009354</v>
      </c>
      <c r="Y26" s="586">
        <f t="shared" si="34"/>
        <v>1369321.2936769635</v>
      </c>
      <c r="Z26" s="586">
        <f t="shared" si="34"/>
        <v>1410400.9324872724</v>
      </c>
      <c r="AA26" s="586">
        <f t="shared" si="34"/>
        <v>1452712.9604618906</v>
      </c>
      <c r="AB26" s="586">
        <f t="shared" si="34"/>
        <v>1496294.3492757473</v>
      </c>
      <c r="AC26" s="586">
        <f t="shared" si="34"/>
        <v>1541183.1797540197</v>
      </c>
      <c r="AD26" s="586">
        <f t="shared" si="34"/>
        <v>1587418.6751466403</v>
      </c>
      <c r="AE26" s="586">
        <f t="shared" si="34"/>
        <v>1635041.2354010395</v>
      </c>
      <c r="AF26" s="586">
        <f t="shared" si="34"/>
        <v>1684092.4724630706</v>
      </c>
      <c r="AG26" s="586">
        <f t="shared" si="34"/>
        <v>1734615.2466369628</v>
      </c>
      <c r="AH26" s="586">
        <f t="shared" si="34"/>
        <v>1786653.7040360717</v>
      </c>
      <c r="AI26" s="586">
        <f t="shared" si="34"/>
        <v>1840253.3151571539</v>
      </c>
      <c r="AJ26" s="586">
        <f t="shared" si="34"/>
        <v>1895460.9146118686</v>
      </c>
      <c r="AK26" s="586">
        <f t="shared" si="34"/>
        <v>1952324.7420502247</v>
      </c>
      <c r="AL26" s="586">
        <f t="shared" si="34"/>
        <v>2010894.4843117315</v>
      </c>
      <c r="AM26" s="586">
        <f t="shared" si="34"/>
        <v>2071221.3188410834</v>
      </c>
      <c r="AN26" s="586">
        <f t="shared" si="34"/>
        <v>2133357.9584063161</v>
      </c>
      <c r="AO26" s="586">
        <f t="shared" si="34"/>
        <v>2197358.6971585057</v>
      </c>
      <c r="AP26" s="586">
        <f t="shared" si="34"/>
        <v>2263279.4580732607</v>
      </c>
      <c r="AQ26" s="586">
        <f t="shared" si="34"/>
        <v>2331177.8418154586</v>
      </c>
      <c r="AR26" s="586">
        <f t="shared" si="34"/>
        <v>2401113.1770699224</v>
      </c>
      <c r="AS26" s="586">
        <f t="shared" si="34"/>
        <v>2473146.5723820203</v>
      </c>
      <c r="AT26" s="586">
        <f t="shared" si="34"/>
        <v>2547340.9695534809</v>
      </c>
      <c r="AU26" s="586">
        <f t="shared" si="34"/>
        <v>2623761.1986400853</v>
      </c>
    </row>
    <row r="27" spans="1:47" s="538" customFormat="1" ht="11.5" outlineLevel="2" x14ac:dyDescent="0.25">
      <c r="A27" s="579" t="s">
        <v>395</v>
      </c>
      <c r="B27" s="580" t="s">
        <v>521</v>
      </c>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row>
    <row r="28" spans="1:47" s="538" customFormat="1" ht="11.5" outlineLevel="2" x14ac:dyDescent="0.25">
      <c r="A28" s="581"/>
      <c r="B28" s="582"/>
      <c r="C28" s="538" t="s">
        <v>59</v>
      </c>
      <c r="D28" s="578">
        <v>0</v>
      </c>
      <c r="E28" s="578">
        <f>VLOOKUP(E38,'Capital Reserve Account'!$A$8:$C$50,3,FALSE)</f>
        <v>75088.495813032438</v>
      </c>
      <c r="F28" s="578">
        <f>VLOOKUP(F38,'Capital Reserve Account'!$A$8:$C$50,3,FALSE)</f>
        <v>491038.73956586764</v>
      </c>
      <c r="G28" s="578">
        <f>VLOOKUP(G38,'Capital Reserve Account'!$A$8:$C$50,3,FALSE)</f>
        <v>597788.37556071591</v>
      </c>
      <c r="H28" s="578">
        <f>VLOOKUP(H38,'Capital Reserve Account'!$A$8:$C$50,3,FALSE)</f>
        <v>669266.11978709011</v>
      </c>
      <c r="I28" s="578">
        <f>VLOOKUP(I38,'Capital Reserve Account'!$A$8:$C$50,3,FALSE)</f>
        <v>685759.16676658043</v>
      </c>
      <c r="J28" s="578">
        <f>VLOOKUP(J38,'Capital Reserve Account'!$A$8:$C$50,3,FALSE)</f>
        <v>702711.64829130389</v>
      </c>
      <c r="K28" s="578">
        <f>VLOOKUP(K38,'Capital Reserve Account'!$A$8:$C$50,3,FALSE)</f>
        <v>786913.10513921955</v>
      </c>
      <c r="L28" s="578">
        <f>VLOOKUP(L38,'Capital Reserve Account'!$A$8:$C$50,3,FALSE)</f>
        <v>806485.98243427649</v>
      </c>
      <c r="M28" s="578">
        <f>VLOOKUP(M38,'Capital Reserve Account'!$A$8:$C$50,3,FALSE)</f>
        <v>826606.16161875287</v>
      </c>
      <c r="N28" s="578">
        <f>VLOOKUP(N38,'Capital Reserve Account'!$A$8:$C$50,3,FALSE)</f>
        <v>925856.27709598409</v>
      </c>
      <c r="O28" s="578">
        <f>VLOOKUP(O38,'Capital Reserve Account'!$A$8:$C$50,3,FALSE)</f>
        <v>949091.24521129311</v>
      </c>
      <c r="P28" s="578">
        <f>VLOOKUP(P38,'Capital Reserve Account'!$A$8:$C$50,3,FALSE)</f>
        <v>972978.3391621802</v>
      </c>
      <c r="Q28" s="578">
        <f>VLOOKUP(Q38,'Capital Reserve Account'!$A$8:$C$50,3,FALSE)</f>
        <v>1090035.2679477974</v>
      </c>
      <c r="R28" s="578">
        <f>VLOOKUP(R38,'Capital Reserve Account'!$A$8:$C$50,3,FALSE)</f>
        <v>1117625.8587882263</v>
      </c>
      <c r="S28" s="578">
        <f>VLOOKUP(S38,'Capital Reserve Account'!$A$8:$C$50,3,FALSE)</f>
        <v>1145993.6568919066</v>
      </c>
      <c r="T28" s="578">
        <f>VLOOKUP(T38,'Capital Reserve Account'!$A$8:$C$50,3,FALSE)</f>
        <v>1284130.7194030874</v>
      </c>
      <c r="U28" s="578">
        <f>VLOOKUP(U38,'Capital Reserve Account'!$A$8:$C$50,3,FALSE)</f>
        <v>1316903.2098866841</v>
      </c>
      <c r="V28" s="578">
        <f>VLOOKUP(V38,'Capital Reserve Account'!$A$8:$C$50,3,FALSE)</f>
        <v>1025887.6355454852</v>
      </c>
      <c r="W28" s="578">
        <f>VLOOKUP(W38,'Capital Reserve Account'!$A$8:$C$50,3,FALSE)</f>
        <v>1149777.3343923979</v>
      </c>
      <c r="X28" s="578">
        <f>VLOOKUP(X38,'Capital Reserve Account'!$A$8:$C$50,3,FALSE)</f>
        <v>1179354.5914429114</v>
      </c>
      <c r="Y28" s="578">
        <f>VLOOKUP(Y38,'Capital Reserve Account'!$A$8:$C$50,3,FALSE)</f>
        <v>1209770.965196955</v>
      </c>
      <c r="Z28" s="578">
        <f>VLOOKUP(Z38,'Capital Reserve Account'!$A$8:$C$50,3,FALSE)</f>
        <v>1356130.2253886936</v>
      </c>
      <c r="AA28" s="578">
        <f>VLOOKUP(AA38,'Capital Reserve Account'!$A$8:$C$50,3,FALSE)</f>
        <v>1391283.0244168662</v>
      </c>
      <c r="AB28" s="578">
        <f>VLOOKUP(AB38,'Capital Reserve Account'!$A$8:$C$50,3,FALSE)</f>
        <v>1427436.5830250238</v>
      </c>
      <c r="AC28" s="578">
        <f>VLOOKUP(AC38,'Capital Reserve Account'!$A$8:$C$50,3,FALSE)</f>
        <v>1600430.4402662814</v>
      </c>
      <c r="AD28" s="578">
        <f>VLOOKUP(AD38,'Capital Reserve Account'!$A$8:$C$50,3,FALSE)</f>
        <v>1642221.770384297</v>
      </c>
      <c r="AE28" s="578">
        <f>VLOOKUP(AE38,'Capital Reserve Account'!$A$8:$C$50,3,FALSE)</f>
        <v>1685206.9166578201</v>
      </c>
      <c r="AF28" s="578">
        <f>VLOOKUP(AF38,'Capital Reserve Account'!$A$8:$C$50,3,FALSE)</f>
        <v>1889785.4192080183</v>
      </c>
      <c r="AG28" s="578">
        <f>VLOOKUP(AG38,'Capital Reserve Account'!$A$8:$C$50,3,FALSE)</f>
        <v>1939482.9945554386</v>
      </c>
      <c r="AH28" s="578">
        <f>VLOOKUP(AH38,'Capital Reserve Account'!$A$8:$C$50,3,FALSE)</f>
        <v>1990605.0135487646</v>
      </c>
      <c r="AI28" s="578">
        <f>VLOOKUP(AI38,'Capital Reserve Account'!$A$8:$C$50,3,FALSE)</f>
        <v>2232653.1727447128</v>
      </c>
      <c r="AJ28" s="578">
        <f>VLOOKUP(AJ38,'Capital Reserve Account'!$A$8:$C$50,3,FALSE)</f>
        <v>2291769.2328695613</v>
      </c>
      <c r="AK28" s="578">
        <f>VLOOKUP(AK38,'Capital Reserve Account'!$A$8:$C$50,3,FALSE)</f>
        <v>2352585.3090688586</v>
      </c>
      <c r="AL28" s="578">
        <f>VLOOKUP(AL38,'Capital Reserve Account'!$A$8:$C$50,3,FALSE)</f>
        <v>2639102.019677096</v>
      </c>
      <c r="AM28" s="578">
        <f>VLOOKUP(AM38,'Capital Reserve Account'!$A$8:$C$50,3,FALSE)</f>
        <v>2709440.9362012129</v>
      </c>
      <c r="AN28" s="578">
        <f>VLOOKUP(AN38,'Capital Reserve Account'!$A$8:$C$50,3,FALSE)</f>
        <v>2781809.2193672373</v>
      </c>
      <c r="AO28" s="578">
        <f>VLOOKUP(AO38,'Capital Reserve Account'!$A$8:$C$50,3,FALSE)</f>
        <v>3121120.8031045753</v>
      </c>
      <c r="AP28" s="578">
        <f>VLOOKUP(AP38,'Capital Reserve Account'!$A$8:$C$50,3,FALSE)</f>
        <v>3204836.0366633106</v>
      </c>
      <c r="AQ28" s="578">
        <f>VLOOKUP(AQ38,'Capital Reserve Account'!$A$8:$C$50,3,FALSE)</f>
        <v>3290974.3489565607</v>
      </c>
      <c r="AR28" s="578">
        <f>VLOOKUP(AR38,'Capital Reserve Account'!$A$8:$C$50,3,FALSE)</f>
        <v>3692989.4878827599</v>
      </c>
      <c r="AS28" s="578">
        <f>VLOOKUP(AS38,'Capital Reserve Account'!$A$8:$C$50,3,FALSE)</f>
        <v>3792651.7471463871</v>
      </c>
      <c r="AT28" s="578">
        <f>VLOOKUP(AT38,'Capital Reserve Account'!$A$8:$C$50,3,FALSE)</f>
        <v>3895207.8418087335</v>
      </c>
      <c r="AU28" s="578">
        <f>VLOOKUP(AU38,'Capital Reserve Account'!$A$8:$C$50,3,FALSE)</f>
        <v>3981151.2832406047</v>
      </c>
    </row>
    <row r="29" spans="1:47" s="538" customFormat="1" ht="11.5" outlineLevel="2" x14ac:dyDescent="0.25">
      <c r="A29" s="581"/>
      <c r="B29" s="582"/>
      <c r="C29" s="538" t="s">
        <v>60</v>
      </c>
      <c r="D29" s="578">
        <v>0</v>
      </c>
      <c r="E29" s="578">
        <f>VLOOKUP(E38,'Closure &amp; PostClosure Account'!$A$10:$C$55,3,FALSE)</f>
        <v>51170.345602317473</v>
      </c>
      <c r="F29" s="578">
        <f>VLOOKUP(F38,'Closure &amp; PostClosure Account'!$A$10:$C$55,3,FALSE)</f>
        <v>334626.78584314918</v>
      </c>
      <c r="G29" s="578">
        <f>VLOOKUP(G38,'Closure &amp; PostClosure Account'!$A$10:$C$55,3,FALSE)</f>
        <v>407373.15940720605</v>
      </c>
      <c r="H29" s="578">
        <f>VLOOKUP(H38,'Closure &amp; PostClosure Account'!$A$10:$C$55,3,FALSE)</f>
        <v>456082.89630278538</v>
      </c>
      <c r="I29" s="578">
        <f>VLOOKUP(I38,'Closure &amp; PostClosure Account'!$A$10:$C$55,3,FALSE)</f>
        <v>467322.36654170445</v>
      </c>
      <c r="J29" s="578">
        <f>VLOOKUP(J38,'Closure &amp; PostClosure Account'!$A$10:$C$55,3,FALSE)</f>
        <v>478874.92634523223</v>
      </c>
      <c r="K29" s="578">
        <f>VLOOKUP(K38,'Closure &amp; PostClosure Account'!$A$10:$C$55,3,FALSE)</f>
        <v>536255.4558188119</v>
      </c>
      <c r="L29" s="578">
        <f>VLOOKUP(L38,'Closure &amp; PostClosure Account'!$A$10:$C$55,3,FALSE)</f>
        <v>549593.72934227728</v>
      </c>
      <c r="M29" s="578">
        <f>VLOOKUP(M38,'Closure &amp; PostClosure Account'!$A$10:$C$55,3,FALSE)</f>
        <v>563304.97114173707</v>
      </c>
      <c r="N29" s="578">
        <f>VLOOKUP(N38,'Closure &amp; PostClosure Account'!$A$10:$C$55,3,FALSE)</f>
        <v>630940.66759629827</v>
      </c>
      <c r="O29" s="578">
        <f>VLOOKUP(O38,'Closure &amp; PostClosure Account'!$A$10:$C$55,3,FALSE)</f>
        <v>646774.53582931764</v>
      </c>
      <c r="P29" s="578">
        <f>VLOOKUP(P38,'Closure &amp; PostClosure Account'!$A$10:$C$55,3,FALSE)</f>
        <v>663052.80641747045</v>
      </c>
      <c r="Q29" s="578">
        <f>VLOOKUP(Q38,'Closure &amp; PostClosure Account'!$A$10:$C$55,3,FALSE)</f>
        <v>742823.2617482096</v>
      </c>
      <c r="R29" s="578">
        <f>VLOOKUP(R38,'Closure &amp; PostClosure Account'!$A$10:$C$55,3,FALSE)</f>
        <v>761625.34392325091</v>
      </c>
      <c r="S29" s="578">
        <f>VLOOKUP(S38,'Closure &amp; PostClosure Account'!$A$10:$C$55,3,FALSE)</f>
        <v>780957.06734139589</v>
      </c>
      <c r="T29" s="578">
        <f>VLOOKUP(T38,'Closure &amp; PostClosure Account'!$A$10:$C$55,3,FALSE)</f>
        <v>875092.94198704616</v>
      </c>
      <c r="U29" s="578">
        <f>VLOOKUP(U38,'Closure &amp; PostClosure Account'!$A$10:$C$55,3,FALSE)</f>
        <v>897426.31870656274</v>
      </c>
      <c r="V29" s="578">
        <f>VLOOKUP(V38,'Closure &amp; PostClosure Account'!$A$10:$C$55,3,FALSE)</f>
        <v>920391.0714087009</v>
      </c>
      <c r="W29" s="578">
        <f>VLOOKUP(W38,'Closure &amp; PostClosure Account'!$A$10:$C$55,3,FALSE)</f>
        <v>1031540.6444295131</v>
      </c>
      <c r="X29" s="578">
        <f>VLOOKUP(X38,'Closure &amp; PostClosure Account'!$A$10:$C$55,3,FALSE)</f>
        <v>1058076.3412863896</v>
      </c>
      <c r="Y29" s="578">
        <f>VLOOKUP(Y38,'Closure &amp; PostClosure Account'!$A$10:$C$55,3,FALSE)</f>
        <v>1085364.8647638815</v>
      </c>
      <c r="Z29" s="578">
        <f>VLOOKUP(Z38,'Closure &amp; PostClosure Account'!$A$10:$C$55,3,FALSE)</f>
        <v>1216673.354730068</v>
      </c>
      <c r="AA29" s="578">
        <f>VLOOKUP(AA38,'Closure &amp; PostClosure Account'!$A$10:$C$55,3,FALSE)</f>
        <v>1248211.2359165892</v>
      </c>
      <c r="AB29" s="578">
        <f>VLOOKUP(AB38,'Closure &amp; PostClosure Account'!$A$10:$C$55,3,FALSE)</f>
        <v>1280646.9641480793</v>
      </c>
      <c r="AC29" s="578">
        <f>VLOOKUP(AC38,'Closure &amp; PostClosure Account'!$A$10:$C$55,3,FALSE)</f>
        <v>1435851.0977165119</v>
      </c>
      <c r="AD29" s="578">
        <f>VLOOKUP(AD38,'Closure &amp; PostClosure Account'!$A$10:$C$55,3,FALSE)</f>
        <v>1473344.8404717434</v>
      </c>
      <c r="AE29" s="578">
        <f>VLOOKUP(AE38,'Closure &amp; PostClosure Account'!$A$10:$C$55,3,FALSE)</f>
        <v>1511909.6339857145</v>
      </c>
      <c r="AF29" s="578">
        <f>VLOOKUP(AF38,'Closure &amp; PostClosure Account'!$A$10:$C$55,3,FALSE)</f>
        <v>1695450.4240540594</v>
      </c>
      <c r="AG29" s="578">
        <f>VLOOKUP(AG38,'Closure &amp; PostClosure Account'!$A$10:$C$55,3,FALSE)</f>
        <v>1740037.3778641666</v>
      </c>
      <c r="AH29" s="578">
        <f>VLOOKUP(AH38,'Closure &amp; PostClosure Account'!$A$10:$C$55,3,FALSE)</f>
        <v>1785902.2934782675</v>
      </c>
      <c r="AI29" s="578">
        <f>VLOOKUP(AI38,'Closure &amp; PostClosure Account'!$A$10:$C$55,3,FALSE)</f>
        <v>2003059.5696320117</v>
      </c>
      <c r="AJ29" s="578">
        <f>VLOOKUP(AJ38,'Closure &amp; PostClosure Account'!$A$10:$C$55,3,FALSE)</f>
        <v>2056096.4637620787</v>
      </c>
      <c r="AK29" s="578">
        <f>VLOOKUP(AK38,'Closure &amp; PostClosure Account'!$A$10:$C$55,3,FALSE)</f>
        <v>2110658.5537927104</v>
      </c>
      <c r="AL29" s="578">
        <f>VLOOKUP(AL38,'Closure &amp; PostClosure Account'!$A$10:$C$55,3,FALSE)</f>
        <v>2367711.4834861206</v>
      </c>
      <c r="AM29" s="578">
        <f>VLOOKUP(AM38,'Closure &amp; PostClosure Account'!$A$10:$C$55,3,FALSE)</f>
        <v>2430817.1380414907</v>
      </c>
      <c r="AN29" s="578">
        <f>VLOOKUP(AN38,'Closure &amp; PostClosure Account'!$A$10:$C$55,3,FALSE)</f>
        <v>2495743.4704889711</v>
      </c>
      <c r="AO29" s="578">
        <f>VLOOKUP(AO38,'Closure &amp; PostClosure Account'!$A$10:$C$55,3,FALSE)</f>
        <v>2800162.1429406917</v>
      </c>
      <c r="AP29" s="578">
        <f>VLOOKUP(AP38,'Closure &amp; PostClosure Account'!$A$10:$C$55,3,FALSE)</f>
        <v>2875268.5686725746</v>
      </c>
      <c r="AQ29" s="578">
        <f>VLOOKUP(AQ38,'Closure &amp; PostClosure Account'!$A$10:$C$55,3,FALSE)</f>
        <v>2952548.897232892</v>
      </c>
      <c r="AR29" s="578">
        <f>VLOOKUP(AR38,'Closure &amp; PostClosure Account'!$A$10:$C$55,3,FALSE)</f>
        <v>3313223.0408900185</v>
      </c>
      <c r="AS29" s="578">
        <f>VLOOKUP(AS38,'Closure &amp; PostClosure Account'!$A$10:$C$55,3,FALSE)</f>
        <v>3402636.5891231908</v>
      </c>
      <c r="AT29" s="578">
        <f>VLOOKUP(AT38,'Closure &amp; PostClosure Account'!$A$10:$C$55,3,FALSE)</f>
        <v>3494646.3868585727</v>
      </c>
      <c r="AU29" s="578">
        <f>VLOOKUP(AU38,'Closure &amp; PostClosure Account'!$A$10:$C$55,3,FALSE)</f>
        <v>3922158.4885453307</v>
      </c>
    </row>
    <row r="30" spans="1:47" s="538" customFormat="1" ht="11.5" outlineLevel="2" x14ac:dyDescent="0.25">
      <c r="A30" s="581"/>
      <c r="B30" s="582"/>
      <c r="C30" s="538" t="s">
        <v>653</v>
      </c>
      <c r="D30" s="578">
        <v>0</v>
      </c>
      <c r="E30" s="578">
        <f>VLOOKUP(E2,'Short-Lived Assets Landfill'!$A$8:$C$50,3,FALSE)</f>
        <v>43849.942052977443</v>
      </c>
      <c r="F30" s="578">
        <f>VLOOKUP(F2,'Short-Lived Assets Landfill'!$A$8:$C$50,3,FALSE)</f>
        <v>286755.24849165051</v>
      </c>
      <c r="G30" s="578">
        <f>VLOOKUP(G2,'Short-Lived Assets Landfill'!$A$8:$C$50,3,FALSE)</f>
        <v>349094.56294810149</v>
      </c>
      <c r="H30" s="578">
        <f>VLOOKUP(H2,'Short-Lived Assets Landfill'!$A$8:$C$50,3,FALSE)</f>
        <v>390835.90972122538</v>
      </c>
      <c r="I30" s="578">
        <f>VLOOKUP(I2,'Short-Lived Assets Landfill'!$A$8:$C$50,3,FALSE)</f>
        <v>400467.46707893937</v>
      </c>
      <c r="J30" s="578">
        <f>VLOOKUP(J2,'Short-Lived Assets Landfill'!$A$8:$C$50,3,FALSE)</f>
        <v>410367.32356779819</v>
      </c>
      <c r="K30" s="578">
        <f>VLOOKUP(K2,'Short-Lived Assets Landfill'!$A$8:$C$50,3,FALSE)</f>
        <v>459539.02375408099</v>
      </c>
      <c r="L30" s="578">
        <f>VLOOKUP(L2,'Short-Lived Assets Landfill'!$A$8:$C$50,3,FALSE)</f>
        <v>470969.13066866534</v>
      </c>
      <c r="M30" s="578">
        <f>VLOOKUP(M2,'Short-Lived Assets Landfill'!$A$8:$C$50,3,FALSE)</f>
        <v>482718.84920786245</v>
      </c>
      <c r="N30" s="578">
        <f>VLOOKUP(N2,'Short-Lived Assets Landfill'!$A$8:$C$50,3,FALSE)</f>
        <v>540678.61741609115</v>
      </c>
      <c r="O30" s="578">
        <f>VLOOKUP(O2,'Short-Lived Assets Landfill'!$A$8:$C$50,3,FALSE)</f>
        <v>554247.30053362204</v>
      </c>
      <c r="P30" s="578">
        <f>VLOOKUP(P2,'Short-Lived Assets Landfill'!$A$8:$C$50,3,FALSE)</f>
        <v>464267.31387593219</v>
      </c>
      <c r="Q30" s="578">
        <f>VLOOKUP(Q2,'Short-Lived Assets Landfill'!$A$8:$C$50,3,FALSE)</f>
        <v>520122.31466111023</v>
      </c>
      <c r="R30" s="578">
        <f>VLOOKUP(R2,'Short-Lived Assets Landfill'!$A$8:$C$50,3,FALSE)</f>
        <v>533287.46848022379</v>
      </c>
      <c r="S30" s="578">
        <f>VLOOKUP(S2,'Short-Lived Assets Landfill'!$A$8:$C$50,3,FALSE)</f>
        <v>546823.4752915483</v>
      </c>
      <c r="T30" s="578">
        <f>VLOOKUP(T2,'Short-Lived Assets Landfill'!$A$8:$C$50,3,FALSE)</f>
        <v>612737.09369131795</v>
      </c>
      <c r="U30" s="578">
        <f>VLOOKUP(U2,'Short-Lived Assets Landfill'!$A$8:$C$50,3,FALSE)</f>
        <v>628374.8479078667</v>
      </c>
      <c r="V30" s="578">
        <f>VLOOKUP(V2,'Short-Lived Assets Landfill'!$A$8:$C$50,3,FALSE)</f>
        <v>644454.68943429529</v>
      </c>
      <c r="W30" s="578">
        <f>VLOOKUP(W2,'Short-Lived Assets Landfill'!$A$8:$C$50,3,FALSE)</f>
        <v>722281.24141534383</v>
      </c>
      <c r="X30" s="578">
        <f>VLOOKUP(X2,'Short-Lived Assets Landfill'!$A$8:$C$50,3,FALSE)</f>
        <v>740861.44586109847</v>
      </c>
      <c r="Y30" s="578">
        <f>VLOOKUP(Y2,'Short-Lived Assets Landfill'!$A$8:$C$50,3,FALSE)</f>
        <v>759968.77693927928</v>
      </c>
      <c r="Z30" s="578">
        <f>VLOOKUP(Z2,'Short-Lived Assets Landfill'!$A$8:$C$50,3,FALSE)</f>
        <v>661432.89366719674</v>
      </c>
      <c r="AA30" s="578">
        <f>VLOOKUP(AA2,'Short-Lived Assets Landfill'!$A$8:$C$50,3,FALSE)</f>
        <v>678578.16271762399</v>
      </c>
      <c r="AB30" s="578">
        <f>VLOOKUP(AB2,'Short-Lived Assets Landfill'!$A$8:$C$50,3,FALSE)</f>
        <v>696211.53777178307</v>
      </c>
      <c r="AC30" s="578">
        <f>VLOOKUP(AC2,'Short-Lived Assets Landfill'!$A$8:$C$50,3,FALSE)</f>
        <v>780586.78834842949</v>
      </c>
      <c r="AD30" s="578">
        <f>VLOOKUP(AD2,'Short-Lived Assets Landfill'!$A$8:$C$50,3,FALSE)</f>
        <v>800969.90487563272</v>
      </c>
      <c r="AE30" s="578">
        <f>VLOOKUP(AE2,'Short-Lived Assets Landfill'!$A$8:$C$50,3,FALSE)</f>
        <v>821935.28795767052</v>
      </c>
      <c r="AF30" s="578">
        <f>VLOOKUP(AF2,'Short-Lived Assets Landfill'!$A$8:$C$50,3,FALSE)</f>
        <v>921715.49224085093</v>
      </c>
      <c r="AG30" s="578">
        <f>VLOOKUP(AG2,'Short-Lived Assets Landfill'!$A$8:$C$50,3,FALSE)</f>
        <v>945954.76547205274</v>
      </c>
      <c r="AH30" s="578">
        <f>VLOOKUP(AH2,'Short-Lived Assets Landfill'!$A$8:$C$50,3,FALSE)</f>
        <v>970888.79047925526</v>
      </c>
      <c r="AI30" s="578">
        <f>VLOOKUP(AI2,'Short-Lived Assets Landfill'!$A$8:$C$50,3,FALSE)</f>
        <v>1088944.2775899468</v>
      </c>
      <c r="AJ30" s="578">
        <f>VLOOKUP(AJ2,'Short-Lived Assets Landfill'!$A$8:$C$50,3,FALSE)</f>
        <v>815888.77218564926</v>
      </c>
      <c r="AK30" s="578">
        <f>VLOOKUP(AK2,'Short-Lived Assets Landfill'!$A$8:$C$50,3,FALSE)</f>
        <v>837539.79752787575</v>
      </c>
      <c r="AL30" s="578">
        <f>VLOOKUP(AL2,'Short-Lived Assets Landfill'!$A$8:$C$50,3,FALSE)</f>
        <v>939542.11254112155</v>
      </c>
      <c r="AM30" s="578">
        <f>VLOOKUP(AM2,'Short-Lived Assets Landfill'!$A$8:$C$50,3,FALSE)</f>
        <v>964583.34767799138</v>
      </c>
      <c r="AN30" s="578">
        <f>VLOOKUP(AN2,'Short-Lived Assets Landfill'!$A$8:$C$50,3,FALSE)</f>
        <v>990347.0540977607</v>
      </c>
      <c r="AO30" s="578">
        <f>VLOOKUP(AO2,'Short-Lived Assets Landfill'!$A$8:$C$50,3,FALSE)</f>
        <v>1111144.7799216597</v>
      </c>
      <c r="AP30" s="578">
        <f>VLOOKUP(AP2,'Short-Lived Assets Landfill'!$A$8:$C$50,3,FALSE)</f>
        <v>1140948.0943836262</v>
      </c>
      <c r="AQ30" s="578">
        <f>VLOOKUP(AQ2,'Short-Lived Assets Landfill'!$A$8:$C$50,3,FALSE)</f>
        <v>1171614.0448847096</v>
      </c>
      <c r="AR30" s="578">
        <f>VLOOKUP(AR2,'Short-Lived Assets Landfill'!$A$8:$C$50,3,FALSE)</f>
        <v>1314734.7541578009</v>
      </c>
      <c r="AS30" s="578">
        <f>VLOOKUP(AS2,'Short-Lived Assets Landfill'!$A$8:$C$50,3,FALSE)</f>
        <v>1345275.9189508387</v>
      </c>
      <c r="AT30" s="578">
        <f>VLOOKUP(AT2,'Short-Lived Assets Landfill'!$A$8:$C$50,3,FALSE)</f>
        <v>0</v>
      </c>
      <c r="AU30" s="578">
        <f>VLOOKUP(AU2,'Short-Lived Assets Landfill'!$A$8:$C$50,3,FALSE)</f>
        <v>0</v>
      </c>
    </row>
    <row r="31" spans="1:47" s="538" customFormat="1" ht="11.5" outlineLevel="2" x14ac:dyDescent="0.25">
      <c r="A31" s="581"/>
      <c r="B31" s="582"/>
      <c r="C31" s="585" t="s">
        <v>29</v>
      </c>
      <c r="D31" s="586">
        <f>SUM(D28:D30)</f>
        <v>0</v>
      </c>
      <c r="E31" s="586">
        <f>SUM(E28:E30)</f>
        <v>170108.78346832737</v>
      </c>
      <c r="F31" s="586">
        <f t="shared" ref="F31:AU31" si="35">SUM(F28:F30)</f>
        <v>1112420.7739006672</v>
      </c>
      <c r="G31" s="586">
        <f t="shared" si="35"/>
        <v>1354256.0979160233</v>
      </c>
      <c r="H31" s="586">
        <f t="shared" si="35"/>
        <v>1516184.9258111008</v>
      </c>
      <c r="I31" s="586">
        <f t="shared" si="35"/>
        <v>1553549.0003872241</v>
      </c>
      <c r="J31" s="586">
        <f t="shared" si="35"/>
        <v>1591953.8982043343</v>
      </c>
      <c r="K31" s="586">
        <f t="shared" si="35"/>
        <v>1782707.5847121126</v>
      </c>
      <c r="L31" s="586">
        <f t="shared" si="35"/>
        <v>1827048.8424452189</v>
      </c>
      <c r="M31" s="586">
        <f t="shared" si="35"/>
        <v>1872629.9819683523</v>
      </c>
      <c r="N31" s="586">
        <f t="shared" si="35"/>
        <v>2097475.5621083737</v>
      </c>
      <c r="O31" s="586">
        <f t="shared" si="35"/>
        <v>2150113.0815742328</v>
      </c>
      <c r="P31" s="586">
        <f t="shared" si="35"/>
        <v>2100298.4594555828</v>
      </c>
      <c r="Q31" s="586">
        <f t="shared" si="35"/>
        <v>2352980.8443571171</v>
      </c>
      <c r="R31" s="586">
        <f t="shared" si="35"/>
        <v>2412538.6711917007</v>
      </c>
      <c r="S31" s="586">
        <f t="shared" si="35"/>
        <v>2473774.1995248506</v>
      </c>
      <c r="T31" s="586">
        <f t="shared" si="35"/>
        <v>2771960.7550814515</v>
      </c>
      <c r="U31" s="586">
        <f t="shared" si="35"/>
        <v>2842704.3765011136</v>
      </c>
      <c r="V31" s="586">
        <f t="shared" si="35"/>
        <v>2590733.3963884814</v>
      </c>
      <c r="W31" s="586">
        <f t="shared" si="35"/>
        <v>2903599.2202372546</v>
      </c>
      <c r="X31" s="586">
        <f t="shared" si="35"/>
        <v>2978292.3785903994</v>
      </c>
      <c r="Y31" s="586">
        <f t="shared" si="35"/>
        <v>3055104.606900116</v>
      </c>
      <c r="Z31" s="586">
        <f t="shared" si="35"/>
        <v>3234236.4737859583</v>
      </c>
      <c r="AA31" s="586">
        <f t="shared" si="35"/>
        <v>3318072.4230510793</v>
      </c>
      <c r="AB31" s="586">
        <f t="shared" si="35"/>
        <v>3404295.0849448862</v>
      </c>
      <c r="AC31" s="586">
        <f t="shared" si="35"/>
        <v>3816868.3263312229</v>
      </c>
      <c r="AD31" s="586">
        <f t="shared" si="35"/>
        <v>3916536.5157316732</v>
      </c>
      <c r="AE31" s="586">
        <f t="shared" si="35"/>
        <v>4019051.838601205</v>
      </c>
      <c r="AF31" s="586">
        <f t="shared" si="35"/>
        <v>4506951.3355029291</v>
      </c>
      <c r="AG31" s="586">
        <f t="shared" si="35"/>
        <v>4625475.1378916577</v>
      </c>
      <c r="AH31" s="586">
        <f t="shared" si="35"/>
        <v>4747396.0975062875</v>
      </c>
      <c r="AI31" s="586">
        <f t="shared" si="35"/>
        <v>5324657.0199666712</v>
      </c>
      <c r="AJ31" s="586">
        <f t="shared" si="35"/>
        <v>5163754.4688172899</v>
      </c>
      <c r="AK31" s="586">
        <f t="shared" si="35"/>
        <v>5300783.6603894448</v>
      </c>
      <c r="AL31" s="586">
        <f t="shared" si="35"/>
        <v>5946355.6157043381</v>
      </c>
      <c r="AM31" s="586">
        <f t="shared" si="35"/>
        <v>6104841.4219206953</v>
      </c>
      <c r="AN31" s="586">
        <f t="shared" si="35"/>
        <v>6267899.7439539693</v>
      </c>
      <c r="AO31" s="586">
        <f t="shared" si="35"/>
        <v>7032427.7259669267</v>
      </c>
      <c r="AP31" s="586">
        <f t="shared" si="35"/>
        <v>7221052.6997195119</v>
      </c>
      <c r="AQ31" s="586">
        <f t="shared" si="35"/>
        <v>7415137.2910741623</v>
      </c>
      <c r="AR31" s="586">
        <f t="shared" si="35"/>
        <v>8320947.28293058</v>
      </c>
      <c r="AS31" s="586">
        <f t="shared" si="35"/>
        <v>8540564.2552204169</v>
      </c>
      <c r="AT31" s="586">
        <f t="shared" si="35"/>
        <v>7389854.2286673058</v>
      </c>
      <c r="AU31" s="586">
        <f t="shared" si="35"/>
        <v>7903309.7717859354</v>
      </c>
    </row>
    <row r="32" spans="1:47" s="538" customFormat="1" ht="11.5" outlineLevel="2" x14ac:dyDescent="0.25">
      <c r="A32" s="579" t="s">
        <v>14</v>
      </c>
      <c r="B32" s="580" t="s">
        <v>507</v>
      </c>
      <c r="C32" s="585"/>
      <c r="D32" s="586"/>
      <c r="E32" s="586"/>
      <c r="F32" s="586"/>
      <c r="G32" s="586"/>
      <c r="H32" s="586"/>
      <c r="I32" s="586"/>
      <c r="J32" s="586"/>
      <c r="K32" s="586"/>
      <c r="L32" s="586"/>
      <c r="M32" s="586"/>
      <c r="N32" s="586"/>
      <c r="O32" s="586"/>
      <c r="P32" s="586"/>
      <c r="Q32" s="586"/>
      <c r="R32" s="586"/>
      <c r="S32" s="586"/>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row>
    <row r="33" spans="1:47" s="538" customFormat="1" ht="11.5" outlineLevel="2" x14ac:dyDescent="0.25">
      <c r="A33" s="581"/>
      <c r="B33" s="582"/>
      <c r="C33" s="538" t="s">
        <v>507</v>
      </c>
      <c r="D33" s="578">
        <v>0</v>
      </c>
      <c r="E33" s="578">
        <f t="shared" ref="E33:AU33" si="36">E39*Hauling_Subsidy</f>
        <v>14495.848612554526</v>
      </c>
      <c r="F33" s="578">
        <f t="shared" si="36"/>
        <v>94795.123468314225</v>
      </c>
      <c r="G33" s="578">
        <f t="shared" si="36"/>
        <v>115403.16130515753</v>
      </c>
      <c r="H33" s="578">
        <f t="shared" si="36"/>
        <v>118238.09023374674</v>
      </c>
      <c r="I33" s="578">
        <f t="shared" si="36"/>
        <v>121151.8883767198</v>
      </c>
      <c r="J33" s="578">
        <f t="shared" si="36"/>
        <v>124146.8540278181</v>
      </c>
      <c r="K33" s="578">
        <f t="shared" si="36"/>
        <v>127225.35462010535</v>
      </c>
      <c r="L33" s="578">
        <f t="shared" si="36"/>
        <v>130389.82886578317</v>
      </c>
      <c r="M33" s="578">
        <f t="shared" si="36"/>
        <v>133642.78896397876</v>
      </c>
      <c r="N33" s="578">
        <f t="shared" si="36"/>
        <v>136986.82287871424</v>
      </c>
      <c r="O33" s="578">
        <f t="shared" si="36"/>
        <v>140424.5966893404</v>
      </c>
      <c r="P33" s="578">
        <f t="shared" si="36"/>
        <v>143958.85701579292</v>
      </c>
      <c r="Q33" s="578">
        <f t="shared" si="36"/>
        <v>147592.43352110841</v>
      </c>
      <c r="R33" s="578">
        <f t="shared" si="36"/>
        <v>151328.24149371716</v>
      </c>
      <c r="S33" s="578">
        <f t="shared" si="36"/>
        <v>155169.28451211439</v>
      </c>
      <c r="T33" s="578">
        <f t="shared" si="36"/>
        <v>159118.65719459724</v>
      </c>
      <c r="U33" s="578">
        <f t="shared" si="36"/>
        <v>163179.54803684467</v>
      </c>
      <c r="V33" s="578">
        <f t="shared" si="36"/>
        <v>167355.24234020966</v>
      </c>
      <c r="W33" s="578">
        <f t="shared" si="36"/>
        <v>171649.12523368871</v>
      </c>
      <c r="X33" s="578">
        <f t="shared" si="36"/>
        <v>176064.68479263192</v>
      </c>
      <c r="Y33" s="578">
        <f t="shared" si="36"/>
        <v>180605.51525735972</v>
      </c>
      <c r="Z33" s="578">
        <f t="shared" si="36"/>
        <v>185275.32035495708</v>
      </c>
      <c r="AA33" s="578">
        <f t="shared" si="36"/>
        <v>190077.91672762576</v>
      </c>
      <c r="AB33" s="578">
        <f t="shared" si="36"/>
        <v>195017.23747108772</v>
      </c>
      <c r="AC33" s="578">
        <f t="shared" si="36"/>
        <v>200097.33578664856</v>
      </c>
      <c r="AD33" s="578">
        <f t="shared" si="36"/>
        <v>205322.38875065238</v>
      </c>
      <c r="AE33" s="578">
        <f t="shared" si="36"/>
        <v>210696.70120518198</v>
      </c>
      <c r="AF33" s="578">
        <f t="shared" si="36"/>
        <v>216224.70977398817</v>
      </c>
      <c r="AG33" s="578">
        <f t="shared" si="36"/>
        <v>221910.98700776548</v>
      </c>
      <c r="AH33" s="578">
        <f t="shared" si="36"/>
        <v>227760.24566302841</v>
      </c>
      <c r="AI33" s="578">
        <f t="shared" si="36"/>
        <v>233777.34311898556</v>
      </c>
      <c r="AJ33" s="578">
        <f t="shared" si="36"/>
        <v>239967.28593695568</v>
      </c>
      <c r="AK33" s="578">
        <f t="shared" si="36"/>
        <v>246335.23456702227</v>
      </c>
      <c r="AL33" s="578">
        <f t="shared" si="36"/>
        <v>252886.50820678088</v>
      </c>
      <c r="AM33" s="578">
        <f t="shared" si="36"/>
        <v>259626.58981719491</v>
      </c>
      <c r="AN33" s="578">
        <f t="shared" si="36"/>
        <v>266561.13130074646</v>
      </c>
      <c r="AO33" s="578">
        <f t="shared" si="36"/>
        <v>273695.95884723938</v>
      </c>
      <c r="AP33" s="578">
        <f t="shared" si="36"/>
        <v>281037.07845279505</v>
      </c>
      <c r="AQ33" s="578">
        <f t="shared" si="36"/>
        <v>288590.68161776493</v>
      </c>
      <c r="AR33" s="578">
        <f t="shared" si="36"/>
        <v>296363.15122947749</v>
      </c>
      <c r="AS33" s="578">
        <f t="shared" si="36"/>
        <v>304361.06763593637</v>
      </c>
      <c r="AT33" s="578">
        <f t="shared" si="36"/>
        <v>312591.2149167906</v>
      </c>
      <c r="AU33" s="578">
        <f t="shared" si="36"/>
        <v>321060.58735811326</v>
      </c>
    </row>
    <row r="34" spans="1:47" s="538" customFormat="1" ht="11.5" outlineLevel="2" x14ac:dyDescent="0.25">
      <c r="A34" s="581"/>
      <c r="B34" s="582"/>
      <c r="C34" s="585" t="s">
        <v>510</v>
      </c>
      <c r="D34" s="586">
        <f>SUM(D33)</f>
        <v>0</v>
      </c>
      <c r="E34" s="586">
        <f t="shared" ref="E34:AU34" si="37">SUM(E33)</f>
        <v>14495.848612554526</v>
      </c>
      <c r="F34" s="586">
        <f t="shared" si="37"/>
        <v>94795.123468314225</v>
      </c>
      <c r="G34" s="586">
        <f t="shared" si="37"/>
        <v>115403.16130515753</v>
      </c>
      <c r="H34" s="586">
        <f t="shared" si="37"/>
        <v>118238.09023374674</v>
      </c>
      <c r="I34" s="586">
        <f t="shared" si="37"/>
        <v>121151.8883767198</v>
      </c>
      <c r="J34" s="586">
        <f t="shared" si="37"/>
        <v>124146.8540278181</v>
      </c>
      <c r="K34" s="586">
        <f t="shared" si="37"/>
        <v>127225.35462010535</v>
      </c>
      <c r="L34" s="586">
        <f t="shared" si="37"/>
        <v>130389.82886578317</v>
      </c>
      <c r="M34" s="586">
        <f t="shared" si="37"/>
        <v>133642.78896397876</v>
      </c>
      <c r="N34" s="586">
        <f t="shared" si="37"/>
        <v>136986.82287871424</v>
      </c>
      <c r="O34" s="586">
        <f t="shared" si="37"/>
        <v>140424.5966893404</v>
      </c>
      <c r="P34" s="586">
        <f t="shared" si="37"/>
        <v>143958.85701579292</v>
      </c>
      <c r="Q34" s="586">
        <f t="shared" si="37"/>
        <v>147592.43352110841</v>
      </c>
      <c r="R34" s="586">
        <f t="shared" si="37"/>
        <v>151328.24149371716</v>
      </c>
      <c r="S34" s="586">
        <f t="shared" si="37"/>
        <v>155169.28451211439</v>
      </c>
      <c r="T34" s="586">
        <f t="shared" si="37"/>
        <v>159118.65719459724</v>
      </c>
      <c r="U34" s="586">
        <f t="shared" si="37"/>
        <v>163179.54803684467</v>
      </c>
      <c r="V34" s="586">
        <f t="shared" si="37"/>
        <v>167355.24234020966</v>
      </c>
      <c r="W34" s="586">
        <f t="shared" si="37"/>
        <v>171649.12523368871</v>
      </c>
      <c r="X34" s="586">
        <f t="shared" si="37"/>
        <v>176064.68479263192</v>
      </c>
      <c r="Y34" s="586">
        <f t="shared" si="37"/>
        <v>180605.51525735972</v>
      </c>
      <c r="Z34" s="586">
        <f t="shared" si="37"/>
        <v>185275.32035495708</v>
      </c>
      <c r="AA34" s="586">
        <f t="shared" si="37"/>
        <v>190077.91672762576</v>
      </c>
      <c r="AB34" s="586">
        <f t="shared" si="37"/>
        <v>195017.23747108772</v>
      </c>
      <c r="AC34" s="586">
        <f t="shared" si="37"/>
        <v>200097.33578664856</v>
      </c>
      <c r="AD34" s="586">
        <f t="shared" si="37"/>
        <v>205322.38875065238</v>
      </c>
      <c r="AE34" s="586">
        <f t="shared" si="37"/>
        <v>210696.70120518198</v>
      </c>
      <c r="AF34" s="586">
        <f t="shared" si="37"/>
        <v>216224.70977398817</v>
      </c>
      <c r="AG34" s="586">
        <f t="shared" si="37"/>
        <v>221910.98700776548</v>
      </c>
      <c r="AH34" s="586">
        <f t="shared" si="37"/>
        <v>227760.24566302841</v>
      </c>
      <c r="AI34" s="586">
        <f t="shared" si="37"/>
        <v>233777.34311898556</v>
      </c>
      <c r="AJ34" s="586">
        <f t="shared" si="37"/>
        <v>239967.28593695568</v>
      </c>
      <c r="AK34" s="586">
        <f t="shared" si="37"/>
        <v>246335.23456702227</v>
      </c>
      <c r="AL34" s="586">
        <f t="shared" si="37"/>
        <v>252886.50820678088</v>
      </c>
      <c r="AM34" s="586">
        <f t="shared" si="37"/>
        <v>259626.58981719491</v>
      </c>
      <c r="AN34" s="586">
        <f t="shared" si="37"/>
        <v>266561.13130074646</v>
      </c>
      <c r="AO34" s="586">
        <f t="shared" si="37"/>
        <v>273695.95884723938</v>
      </c>
      <c r="AP34" s="586">
        <f t="shared" si="37"/>
        <v>281037.07845279505</v>
      </c>
      <c r="AQ34" s="586">
        <f t="shared" si="37"/>
        <v>288590.68161776493</v>
      </c>
      <c r="AR34" s="586">
        <f t="shared" si="37"/>
        <v>296363.15122947749</v>
      </c>
      <c r="AS34" s="586">
        <f t="shared" si="37"/>
        <v>304361.06763593637</v>
      </c>
      <c r="AT34" s="586">
        <f t="shared" si="37"/>
        <v>312591.2149167906</v>
      </c>
      <c r="AU34" s="586">
        <f t="shared" si="37"/>
        <v>321060.58735811326</v>
      </c>
    </row>
    <row r="35" spans="1:47" s="7" customFormat="1" ht="13" outlineLevel="1" x14ac:dyDescent="0.3">
      <c r="A35" s="26"/>
      <c r="B35" s="27"/>
      <c r="C35" s="28" t="s">
        <v>38</v>
      </c>
      <c r="D35" s="29">
        <f>SUM(D11,D23,D26,D31)</f>
        <v>0</v>
      </c>
      <c r="E35" s="29">
        <f t="shared" ref="E35:AU35" si="38">SUM(E11,E23,E26,E31,E34)</f>
        <v>414376.9347475486</v>
      </c>
      <c r="F35" s="29">
        <f>SUM(F11,F23,F26,F31,F34)</f>
        <v>2585849.7133689816</v>
      </c>
      <c r="G35" s="29">
        <f t="shared" si="38"/>
        <v>2889652.0897011808</v>
      </c>
      <c r="H35" s="29">
        <f t="shared" si="38"/>
        <v>3097015.6314392476</v>
      </c>
      <c r="I35" s="29">
        <f t="shared" si="38"/>
        <v>3181171.2826201762</v>
      </c>
      <c r="J35" s="29">
        <f t="shared" si="38"/>
        <v>3267765.2579040714</v>
      </c>
      <c r="K35" s="29">
        <f t="shared" si="38"/>
        <v>3508147.380174295</v>
      </c>
      <c r="L35" s="29">
        <f t="shared" si="38"/>
        <v>3603599.5453783413</v>
      </c>
      <c r="M35" s="29">
        <f t="shared" si="38"/>
        <v>3701818.4712216901</v>
      </c>
      <c r="N35" s="29">
        <f t="shared" si="38"/>
        <v>4005874.4562851279</v>
      </c>
      <c r="O35" s="29">
        <f t="shared" si="38"/>
        <v>4261945.4830457112</v>
      </c>
      <c r="P35" s="29">
        <f t="shared" si="38"/>
        <v>4274807.3553969776</v>
      </c>
      <c r="Q35" s="29">
        <f t="shared" si="38"/>
        <v>4592039.8179715956</v>
      </c>
      <c r="R35" s="29">
        <f t="shared" si="38"/>
        <v>4718077.4489815887</v>
      </c>
      <c r="S35" s="29">
        <f t="shared" si="38"/>
        <v>4847780.3364220215</v>
      </c>
      <c r="T35" s="29">
        <f t="shared" si="38"/>
        <v>5216481.3702326575</v>
      </c>
      <c r="U35" s="29">
        <f t="shared" si="38"/>
        <v>5359847.9412332652</v>
      </c>
      <c r="V35" s="29">
        <f t="shared" si="38"/>
        <v>5182671.5759248566</v>
      </c>
      <c r="W35" s="29">
        <f t="shared" si="38"/>
        <v>5572568.7707829932</v>
      </c>
      <c r="X35" s="29">
        <f t="shared" si="38"/>
        <v>5726597.1014544442</v>
      </c>
      <c r="Y35" s="29">
        <f t="shared" si="38"/>
        <v>5885117.3613710301</v>
      </c>
      <c r="Z35" s="29">
        <f t="shared" si="38"/>
        <v>6148401.2505308762</v>
      </c>
      <c r="AA35" s="29">
        <f t="shared" si="38"/>
        <v>6318906.4798603645</v>
      </c>
      <c r="AB35" s="29">
        <f t="shared" si="38"/>
        <v>6494391.1467000842</v>
      </c>
      <c r="AC35" s="29">
        <f t="shared" si="38"/>
        <v>6998896.8511305042</v>
      </c>
      <c r="AD35" s="29">
        <f t="shared" si="38"/>
        <v>7193248.0291653378</v>
      </c>
      <c r="AE35" s="29">
        <f t="shared" si="38"/>
        <v>7393279.33822989</v>
      </c>
      <c r="AF35" s="29">
        <f t="shared" si="38"/>
        <v>7981612.7676531253</v>
      </c>
      <c r="AG35" s="29">
        <f t="shared" si="38"/>
        <v>8203575.9489469165</v>
      </c>
      <c r="AH35" s="29">
        <f t="shared" si="38"/>
        <v>8432031.8619382344</v>
      </c>
      <c r="AI35" s="29">
        <f t="shared" si="38"/>
        <v>9119016.147417644</v>
      </c>
      <c r="AJ35" s="29">
        <f t="shared" si="38"/>
        <v>9071120.9926161915</v>
      </c>
      <c r="AK35" s="29">
        <f t="shared" si="38"/>
        <v>9324540.1099542715</v>
      </c>
      <c r="AL35" s="29">
        <f t="shared" si="38"/>
        <v>10089985.975358859</v>
      </c>
      <c r="AM35" s="29">
        <f t="shared" si="38"/>
        <v>10371934.178729061</v>
      </c>
      <c r="AN35" s="29">
        <f t="shared" si="38"/>
        <v>10662151.027255625</v>
      </c>
      <c r="AO35" s="29">
        <f t="shared" si="38"/>
        <v>11557644.541375101</v>
      </c>
      <c r="AP35" s="29">
        <f t="shared" si="38"/>
        <v>11881156.260430068</v>
      </c>
      <c r="AQ35" s="29">
        <f t="shared" si="38"/>
        <v>12214166.449417422</v>
      </c>
      <c r="AR35" s="29">
        <f t="shared" si="38"/>
        <v>13263062.065187316</v>
      </c>
      <c r="AS35" s="29">
        <f t="shared" si="38"/>
        <v>13630049.502814431</v>
      </c>
      <c r="AT35" s="29">
        <f t="shared" si="38"/>
        <v>12631123.348940916</v>
      </c>
      <c r="AU35" s="29">
        <f t="shared" si="38"/>
        <v>13300908.601661574</v>
      </c>
    </row>
    <row r="36" spans="1:47" s="7" customFormat="1" ht="13" outlineLevel="1" x14ac:dyDescent="0.3">
      <c r="A36" s="647" t="s">
        <v>22</v>
      </c>
      <c r="B36" s="648"/>
      <c r="C36" s="648"/>
      <c r="D36" s="649">
        <f t="shared" ref="D36:AU36" si="39">SUM(D7,-D35)</f>
        <v>0</v>
      </c>
      <c r="E36" s="649">
        <f t="shared" si="39"/>
        <v>59854.752612172742</v>
      </c>
      <c r="F36" s="649">
        <f t="shared" si="39"/>
        <v>515372.75089691859</v>
      </c>
      <c r="G36" s="649">
        <f t="shared" si="39"/>
        <v>885762.3323970479</v>
      </c>
      <c r="H36" s="649">
        <f t="shared" si="39"/>
        <v>1129826.2814631951</v>
      </c>
      <c r="I36" s="649">
        <f t="shared" si="39"/>
        <v>1149834.7291112295</v>
      </c>
      <c r="J36" s="649">
        <f t="shared" si="39"/>
        <v>1170306.4744994054</v>
      </c>
      <c r="K36" s="649">
        <f t="shared" si="39"/>
        <v>622223.75756742572</v>
      </c>
      <c r="L36" s="649">
        <f t="shared" si="39"/>
        <v>629506.24874931015</v>
      </c>
      <c r="M36" s="649">
        <f t="shared" si="39"/>
        <v>636894.67249388061</v>
      </c>
      <c r="N36" s="649">
        <f t="shared" si="39"/>
        <v>853785.42183787515</v>
      </c>
      <c r="O36" s="649">
        <f t="shared" si="39"/>
        <v>719670.73442792799</v>
      </c>
      <c r="P36" s="649">
        <f t="shared" si="39"/>
        <v>832188.09743939433</v>
      </c>
      <c r="Q36" s="649">
        <f t="shared" si="39"/>
        <v>806153.43806294538</v>
      </c>
      <c r="R36" s="649">
        <f t="shared" si="39"/>
        <v>816752.98365111649</v>
      </c>
      <c r="S36" s="649">
        <f t="shared" si="39"/>
        <v>827536.24460856244</v>
      </c>
      <c r="T36" s="649">
        <f t="shared" si="39"/>
        <v>1142932.8553266088</v>
      </c>
      <c r="U36" s="649">
        <f t="shared" si="39"/>
        <v>1161865.8376652971</v>
      </c>
      <c r="V36" s="649">
        <f t="shared" si="39"/>
        <v>1505930.0476965914</v>
      </c>
      <c r="W36" s="649">
        <f t="shared" si="39"/>
        <v>294398.32970448676</v>
      </c>
      <c r="X36" s="649">
        <f t="shared" si="39"/>
        <v>291293.82475771476</v>
      </c>
      <c r="Y36" s="649">
        <f t="shared" si="39"/>
        <v>287979.15012552496</v>
      </c>
      <c r="Z36" s="649">
        <f t="shared" si="39"/>
        <v>771522.44107389543</v>
      </c>
      <c r="AA36" s="649">
        <f t="shared" si="39"/>
        <v>780391.34725676291</v>
      </c>
      <c r="AB36" s="649">
        <f t="shared" si="39"/>
        <v>789387.39035528246</v>
      </c>
      <c r="AC36" s="649">
        <f t="shared" si="39"/>
        <v>890941.09893704858</v>
      </c>
      <c r="AD36" s="649">
        <f t="shared" si="39"/>
        <v>902613.75927288551</v>
      </c>
      <c r="AE36" s="649">
        <f t="shared" si="39"/>
        <v>914491.59029043559</v>
      </c>
      <c r="AF36" s="649">
        <f t="shared" si="39"/>
        <v>1334693.8601257009</v>
      </c>
      <c r="AG36" s="649">
        <f t="shared" si="39"/>
        <v>1357730.9026074456</v>
      </c>
      <c r="AH36" s="649">
        <f t="shared" si="39"/>
        <v>1381297.4676880315</v>
      </c>
      <c r="AI36" s="649">
        <f t="shared" si="39"/>
        <v>90642.284754792228</v>
      </c>
      <c r="AJ36" s="649">
        <f t="shared" si="39"/>
        <v>382390.23687017895</v>
      </c>
      <c r="AK36" s="649">
        <f t="shared" si="39"/>
        <v>379836.45581357181</v>
      </c>
      <c r="AL36" s="649">
        <f t="shared" si="39"/>
        <v>796267.41392275505</v>
      </c>
      <c r="AM36" s="649">
        <f t="shared" si="39"/>
        <v>804466.11002813838</v>
      </c>
      <c r="AN36" s="649">
        <f t="shared" si="39"/>
        <v>812767.26573887095</v>
      </c>
      <c r="AO36" s="649">
        <f t="shared" si="39"/>
        <v>991315.17177082598</v>
      </c>
      <c r="AP36" s="649">
        <f t="shared" si="39"/>
        <v>1004393.7866305858</v>
      </c>
      <c r="AQ36" s="649">
        <f t="shared" si="39"/>
        <v>1017716.3027571011</v>
      </c>
      <c r="AR36" s="649">
        <f t="shared" si="39"/>
        <v>1585186.1213021819</v>
      </c>
      <c r="AS36" s="649">
        <f t="shared" si="39"/>
        <v>1618906.5560446139</v>
      </c>
      <c r="AT36" s="649">
        <f t="shared" si="39"/>
        <v>3030175.7050931994</v>
      </c>
      <c r="AU36" s="649">
        <f t="shared" si="39"/>
        <v>-5194128.7708692141</v>
      </c>
    </row>
    <row r="37" spans="1:47" s="591" customFormat="1" ht="11.5" outlineLevel="1" x14ac:dyDescent="0.25">
      <c r="A37" s="580" t="s">
        <v>33</v>
      </c>
      <c r="B37" s="538"/>
      <c r="C37" s="538"/>
      <c r="D37" s="589"/>
      <c r="E37" s="590"/>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row>
    <row r="38" spans="1:47" s="591" customFormat="1" ht="11.5" outlineLevel="1" x14ac:dyDescent="0.25">
      <c r="A38" s="580"/>
      <c r="B38" s="538"/>
      <c r="C38" s="538" t="s">
        <v>15</v>
      </c>
      <c r="D38" s="592">
        <v>2023</v>
      </c>
      <c r="E38" s="592">
        <v>2024</v>
      </c>
      <c r="F38" s="592">
        <v>2025</v>
      </c>
      <c r="G38" s="592">
        <v>2026</v>
      </c>
      <c r="H38" s="592">
        <v>2027</v>
      </c>
      <c r="I38" s="592">
        <v>2028</v>
      </c>
      <c r="J38" s="592">
        <v>2029</v>
      </c>
      <c r="K38" s="592">
        <v>2030</v>
      </c>
      <c r="L38" s="592">
        <v>2031</v>
      </c>
      <c r="M38" s="592">
        <v>2032</v>
      </c>
      <c r="N38" s="592">
        <v>2033</v>
      </c>
      <c r="O38" s="592">
        <v>2034</v>
      </c>
      <c r="P38" s="592">
        <v>2035</v>
      </c>
      <c r="Q38" s="592">
        <v>2036</v>
      </c>
      <c r="R38" s="592">
        <v>2037</v>
      </c>
      <c r="S38" s="592">
        <v>2038</v>
      </c>
      <c r="T38" s="592">
        <v>2039</v>
      </c>
      <c r="U38" s="592">
        <v>2040</v>
      </c>
      <c r="V38" s="592">
        <v>2041</v>
      </c>
      <c r="W38" s="592">
        <v>2042</v>
      </c>
      <c r="X38" s="592">
        <v>2043</v>
      </c>
      <c r="Y38" s="592">
        <v>2044</v>
      </c>
      <c r="Z38" s="592">
        <v>2045</v>
      </c>
      <c r="AA38" s="592">
        <v>2046</v>
      </c>
      <c r="AB38" s="592">
        <v>2047</v>
      </c>
      <c r="AC38" s="592">
        <v>2048</v>
      </c>
      <c r="AD38" s="592">
        <v>2049</v>
      </c>
      <c r="AE38" s="592">
        <v>2050</v>
      </c>
      <c r="AF38" s="592">
        <v>2051</v>
      </c>
      <c r="AG38" s="592">
        <v>2052</v>
      </c>
      <c r="AH38" s="592">
        <v>2053</v>
      </c>
      <c r="AI38" s="592">
        <v>2054</v>
      </c>
      <c r="AJ38" s="592">
        <v>2055</v>
      </c>
      <c r="AK38" s="592">
        <v>2056</v>
      </c>
      <c r="AL38" s="592">
        <v>2057</v>
      </c>
      <c r="AM38" s="592">
        <v>2058</v>
      </c>
      <c r="AN38" s="592">
        <v>2059</v>
      </c>
      <c r="AO38" s="592">
        <v>2060</v>
      </c>
      <c r="AP38" s="592">
        <v>2061</v>
      </c>
      <c r="AQ38" s="592">
        <v>2062</v>
      </c>
      <c r="AR38" s="592">
        <v>2063</v>
      </c>
      <c r="AS38" s="592">
        <v>2064</v>
      </c>
      <c r="AT38" s="592">
        <v>2065</v>
      </c>
      <c r="AU38" s="592">
        <v>2066</v>
      </c>
    </row>
    <row r="39" spans="1:47" s="591" customFormat="1" ht="12" customHeight="1" outlineLevel="1" x14ac:dyDescent="0.25">
      <c r="A39" s="581"/>
      <c r="B39" s="582"/>
      <c r="C39" s="538" t="s">
        <v>31</v>
      </c>
      <c r="D39" s="593" t="s">
        <v>63</v>
      </c>
      <c r="E39" s="594">
        <f>VLOOKUP(E38,Tons!$B$10:$G$130,6,FALSE)*(2/12)</f>
        <v>7247.924306277263</v>
      </c>
      <c r="F39" s="594">
        <f>VLOOKUP(F38,Tons!$B$10:$G$130,6,FALSE)</f>
        <v>47397.561734157112</v>
      </c>
      <c r="G39" s="594">
        <f>VLOOKUP(G38,Tons!$B$10:$G$130,6,FALSE)</f>
        <v>57701.580652578763</v>
      </c>
      <c r="H39" s="594">
        <f>VLOOKUP(H38,Tons!$B$10:$G$130,6,FALSE)</f>
        <v>59119.045116873371</v>
      </c>
      <c r="I39" s="594">
        <f>VLOOKUP(I38,Tons!$B$10:$G$130,6,FALSE)</f>
        <v>60575.944188359899</v>
      </c>
      <c r="J39" s="594">
        <f>VLOOKUP(J38,Tons!$B$10:$G$130,6,FALSE)</f>
        <v>62073.427013909051</v>
      </c>
      <c r="K39" s="594">
        <f>VLOOKUP(K38,Tons!$B$10:$G$130,6,FALSE)</f>
        <v>63612.677310052677</v>
      </c>
      <c r="L39" s="594">
        <f>VLOOKUP(L38,Tons!$B$10:$G$130,6,FALSE)</f>
        <v>65194.914432891586</v>
      </c>
      <c r="M39" s="594">
        <f>VLOOKUP(M38,Tons!$B$10:$G$130,6,FALSE)</f>
        <v>66821.39448198938</v>
      </c>
      <c r="N39" s="594">
        <f>VLOOKUP(N38,Tons!$B$10:$G$130,6,FALSE)</f>
        <v>68493.411439357122</v>
      </c>
      <c r="O39" s="594">
        <f>VLOOKUP(O38,Tons!$B$10:$G$130,6,FALSE)</f>
        <v>70212.298344670198</v>
      </c>
      <c r="P39" s="594">
        <f>VLOOKUP(P38,Tons!$B$10:$G$130,6,FALSE)</f>
        <v>71979.42850789646</v>
      </c>
      <c r="Q39" s="594">
        <f>VLOOKUP(Q38,Tons!$B$10:$G$130,6,FALSE)</f>
        <v>73796.216760554205</v>
      </c>
      <c r="R39" s="594">
        <f>VLOOKUP(R38,Tons!$B$10:$G$130,6,FALSE)</f>
        <v>75664.120746858578</v>
      </c>
      <c r="S39" s="594">
        <f>VLOOKUP(S38,Tons!$B$10:$G$130,6,FALSE)</f>
        <v>77584.642256057195</v>
      </c>
      <c r="T39" s="594">
        <f>VLOOKUP(T38,Tons!$B$10:$G$130,6,FALSE)</f>
        <v>79559.32859729862</v>
      </c>
      <c r="U39" s="594">
        <f>VLOOKUP(U38,Tons!$B$10:$G$130,6,FALSE)</f>
        <v>81589.774018422337</v>
      </c>
      <c r="V39" s="594">
        <f>VLOOKUP(V38,Tons!$B$10:$G$130,6,FALSE)</f>
        <v>83677.621170104831</v>
      </c>
      <c r="W39" s="594">
        <f>VLOOKUP(W38,Tons!$B$10:$G$130,6,FALSE)</f>
        <v>85824.562616844356</v>
      </c>
      <c r="X39" s="594">
        <f>VLOOKUP(X38,Tons!$B$10:$G$130,6,FALSE)</f>
        <v>88032.342396315958</v>
      </c>
      <c r="Y39" s="594">
        <f>VLOOKUP(Y38,Tons!$B$10:$G$130,6,FALSE)</f>
        <v>90302.757628679858</v>
      </c>
      <c r="Z39" s="594">
        <f>VLOOKUP(Z38,Tons!$B$10:$G$130,6,FALSE)</f>
        <v>92637.660177478538</v>
      </c>
      <c r="AA39" s="594">
        <f>VLOOKUP(AA38,Tons!$B$10:$G$130,6,FALSE)</f>
        <v>95038.958363812882</v>
      </c>
      <c r="AB39" s="594">
        <f>VLOOKUP(AB38,Tons!$B$10:$G$130,6,FALSE)</f>
        <v>97508.61873554386</v>
      </c>
      <c r="AC39" s="594">
        <f>VLOOKUP(AC38,Tons!$B$10:$G$130,6,FALSE)</f>
        <v>100048.66789332428</v>
      </c>
      <c r="AD39" s="594">
        <f>VLOOKUP(AD38,Tons!$B$10:$G$130,6,FALSE)</f>
        <v>102661.19437532619</v>
      </c>
      <c r="AE39" s="594">
        <f>VLOOKUP(AE38,Tons!$B$10:$G$130,6,FALSE)</f>
        <v>105348.35060259099</v>
      </c>
      <c r="AF39" s="594">
        <f>VLOOKUP(AF38,Tons!$B$10:$G$130,6,FALSE)</f>
        <v>108112.35488699409</v>
      </c>
      <c r="AG39" s="594">
        <f>VLOOKUP(AG38,Tons!$B$10:$G$130,6,FALSE)</f>
        <v>110955.49350388274</v>
      </c>
      <c r="AH39" s="594">
        <f>VLOOKUP(AH38,Tons!$B$10:$G$130,6,FALSE)</f>
        <v>113880.12283151421</v>
      </c>
      <c r="AI39" s="594">
        <f>VLOOKUP(AI38,Tons!$B$10:$G$130,6,FALSE)</f>
        <v>116888.67155949278</v>
      </c>
      <c r="AJ39" s="594">
        <f>VLOOKUP(AJ38,Tons!$B$10:$G$130,6,FALSE)</f>
        <v>119983.64296847784</v>
      </c>
      <c r="AK39" s="594">
        <f>VLOOKUP(AK38,Tons!$B$10:$G$130,6,FALSE)</f>
        <v>123167.61728351114</v>
      </c>
      <c r="AL39" s="594">
        <f>VLOOKUP(AL38,Tons!$B$10:$G$130,6,FALSE)</f>
        <v>126443.25410339044</v>
      </c>
      <c r="AM39" s="594">
        <f>VLOOKUP(AM38,Tons!$B$10:$G$130,6,FALSE)</f>
        <v>129813.29490859745</v>
      </c>
      <c r="AN39" s="594">
        <f>VLOOKUP(AN38,Tons!$B$10:$G$130,6,FALSE)</f>
        <v>133280.56565037323</v>
      </c>
      <c r="AO39" s="594">
        <f>VLOOKUP(AO38,Tons!$B$10:$G$130,6,FALSE)</f>
        <v>136847.97942361969</v>
      </c>
      <c r="AP39" s="594">
        <f>VLOOKUP(AP38,Tons!$B$10:$G$130,6,FALSE)</f>
        <v>140518.53922639752</v>
      </c>
      <c r="AQ39" s="594">
        <f>VLOOKUP(AQ38,Tons!$B$10:$G$130,6,FALSE)</f>
        <v>144295.34080888247</v>
      </c>
      <c r="AR39" s="594">
        <f>VLOOKUP(AR38,Tons!$B$10:$G$130,6,FALSE)</f>
        <v>148181.57561473874</v>
      </c>
      <c r="AS39" s="594">
        <f>VLOOKUP(AS38,Tons!$B$10:$G$130,6,FALSE)</f>
        <v>152180.53381796819</v>
      </c>
      <c r="AT39" s="594">
        <f>VLOOKUP(AT38,Tons!$B$10:$G$130,6,FALSE)</f>
        <v>156295.6074583953</v>
      </c>
      <c r="AU39" s="594">
        <f>VLOOKUP(AU38,Tons!$B$10:$G$130,6,FALSE)</f>
        <v>160530.29367905663</v>
      </c>
    </row>
    <row r="40" spans="1:47" s="591" customFormat="1" ht="12" customHeight="1" outlineLevel="1" x14ac:dyDescent="0.25">
      <c r="B40" s="538"/>
      <c r="C40" s="585" t="s">
        <v>35</v>
      </c>
      <c r="D40" s="595" t="s">
        <v>63</v>
      </c>
      <c r="E40" s="596">
        <f t="shared" ref="E40:AU40" si="40">SUM(E39:E39)</f>
        <v>7247.924306277263</v>
      </c>
      <c r="F40" s="596">
        <f t="shared" si="40"/>
        <v>47397.561734157112</v>
      </c>
      <c r="G40" s="596">
        <f t="shared" si="40"/>
        <v>57701.580652578763</v>
      </c>
      <c r="H40" s="596">
        <f t="shared" si="40"/>
        <v>59119.045116873371</v>
      </c>
      <c r="I40" s="596">
        <f t="shared" si="40"/>
        <v>60575.944188359899</v>
      </c>
      <c r="J40" s="596">
        <f t="shared" si="40"/>
        <v>62073.427013909051</v>
      </c>
      <c r="K40" s="596">
        <f t="shared" si="40"/>
        <v>63612.677310052677</v>
      </c>
      <c r="L40" s="596">
        <f t="shared" si="40"/>
        <v>65194.914432891586</v>
      </c>
      <c r="M40" s="596">
        <f t="shared" si="40"/>
        <v>66821.39448198938</v>
      </c>
      <c r="N40" s="596">
        <f t="shared" si="40"/>
        <v>68493.411439357122</v>
      </c>
      <c r="O40" s="596">
        <f t="shared" si="40"/>
        <v>70212.298344670198</v>
      </c>
      <c r="P40" s="596">
        <f t="shared" si="40"/>
        <v>71979.42850789646</v>
      </c>
      <c r="Q40" s="596">
        <f t="shared" si="40"/>
        <v>73796.216760554205</v>
      </c>
      <c r="R40" s="596">
        <f t="shared" si="40"/>
        <v>75664.120746858578</v>
      </c>
      <c r="S40" s="596">
        <f t="shared" si="40"/>
        <v>77584.642256057195</v>
      </c>
      <c r="T40" s="596">
        <f t="shared" si="40"/>
        <v>79559.32859729862</v>
      </c>
      <c r="U40" s="596">
        <f t="shared" si="40"/>
        <v>81589.774018422337</v>
      </c>
      <c r="V40" s="596">
        <f t="shared" si="40"/>
        <v>83677.621170104831</v>
      </c>
      <c r="W40" s="596">
        <f t="shared" si="40"/>
        <v>85824.562616844356</v>
      </c>
      <c r="X40" s="596">
        <f t="shared" si="40"/>
        <v>88032.342396315958</v>
      </c>
      <c r="Y40" s="596">
        <f t="shared" si="40"/>
        <v>90302.757628679858</v>
      </c>
      <c r="Z40" s="596">
        <f t="shared" si="40"/>
        <v>92637.660177478538</v>
      </c>
      <c r="AA40" s="596">
        <f t="shared" si="40"/>
        <v>95038.958363812882</v>
      </c>
      <c r="AB40" s="596">
        <f t="shared" si="40"/>
        <v>97508.61873554386</v>
      </c>
      <c r="AC40" s="596">
        <f t="shared" si="40"/>
        <v>100048.66789332428</v>
      </c>
      <c r="AD40" s="596">
        <f t="shared" si="40"/>
        <v>102661.19437532619</v>
      </c>
      <c r="AE40" s="596">
        <f t="shared" si="40"/>
        <v>105348.35060259099</v>
      </c>
      <c r="AF40" s="596">
        <f t="shared" si="40"/>
        <v>108112.35488699409</v>
      </c>
      <c r="AG40" s="596">
        <f t="shared" si="40"/>
        <v>110955.49350388274</v>
      </c>
      <c r="AH40" s="596">
        <f t="shared" si="40"/>
        <v>113880.12283151421</v>
      </c>
      <c r="AI40" s="596">
        <f t="shared" si="40"/>
        <v>116888.67155949278</v>
      </c>
      <c r="AJ40" s="596">
        <f t="shared" si="40"/>
        <v>119983.64296847784</v>
      </c>
      <c r="AK40" s="596">
        <f t="shared" si="40"/>
        <v>123167.61728351114</v>
      </c>
      <c r="AL40" s="596">
        <f t="shared" si="40"/>
        <v>126443.25410339044</v>
      </c>
      <c r="AM40" s="596">
        <f t="shared" si="40"/>
        <v>129813.29490859745</v>
      </c>
      <c r="AN40" s="596">
        <f t="shared" si="40"/>
        <v>133280.56565037323</v>
      </c>
      <c r="AO40" s="596">
        <f t="shared" si="40"/>
        <v>136847.97942361969</v>
      </c>
      <c r="AP40" s="596">
        <f t="shared" si="40"/>
        <v>140518.53922639752</v>
      </c>
      <c r="AQ40" s="596">
        <f t="shared" si="40"/>
        <v>144295.34080888247</v>
      </c>
      <c r="AR40" s="596">
        <f t="shared" si="40"/>
        <v>148181.57561473874</v>
      </c>
      <c r="AS40" s="596">
        <f t="shared" si="40"/>
        <v>152180.53381796819</v>
      </c>
      <c r="AT40" s="596">
        <f t="shared" si="40"/>
        <v>156295.6074583953</v>
      </c>
      <c r="AU40" s="596">
        <f t="shared" si="40"/>
        <v>160530.29367905663</v>
      </c>
    </row>
    <row r="41" spans="1:47" s="591" customFormat="1" ht="12" customHeight="1" outlineLevel="1" x14ac:dyDescent="0.25">
      <c r="B41" s="538"/>
      <c r="C41" s="555"/>
      <c r="D41" s="597"/>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row>
    <row r="42" spans="1:47" s="591" customFormat="1" ht="12" customHeight="1" outlineLevel="1" x14ac:dyDescent="0.25">
      <c r="A42" s="580" t="s">
        <v>34</v>
      </c>
      <c r="B42" s="538"/>
      <c r="C42" s="538"/>
      <c r="D42" s="597"/>
      <c r="E42" s="597"/>
      <c r="F42" s="597"/>
      <c r="G42" s="597"/>
      <c r="H42" s="597"/>
      <c r="I42" s="597"/>
      <c r="J42" s="597"/>
      <c r="K42" s="597"/>
      <c r="L42" s="597"/>
      <c r="M42" s="597"/>
      <c r="N42" s="597"/>
      <c r="O42" s="597"/>
      <c r="P42" s="597"/>
      <c r="Q42" s="597"/>
      <c r="R42" s="597"/>
      <c r="S42" s="597"/>
      <c r="T42" s="597"/>
      <c r="U42" s="597"/>
      <c r="V42" s="597"/>
      <c r="W42" s="597"/>
      <c r="X42" s="597"/>
      <c r="Y42" s="598"/>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row>
    <row r="43" spans="1:47" s="591" customFormat="1" ht="12" customHeight="1" outlineLevel="1" x14ac:dyDescent="0.25">
      <c r="A43" s="581"/>
      <c r="B43" s="582"/>
      <c r="C43" s="538" t="s">
        <v>32</v>
      </c>
      <c r="D43" s="599" t="s">
        <v>63</v>
      </c>
      <c r="E43" s="605">
        <v>65.430000000000007</v>
      </c>
      <c r="F43" s="589">
        <f>E43</f>
        <v>65.430000000000007</v>
      </c>
      <c r="G43" s="589">
        <f>F43</f>
        <v>65.430000000000007</v>
      </c>
      <c r="H43" s="600">
        <f>E43*(1+Inf)^3</f>
        <v>71.497127610000007</v>
      </c>
      <c r="I43" s="589">
        <f t="shared" ref="I43:J43" si="41">H43</f>
        <v>71.497127610000007</v>
      </c>
      <c r="J43" s="589">
        <f t="shared" si="41"/>
        <v>71.497127610000007</v>
      </c>
      <c r="K43" s="605">
        <v>64.930000000000007</v>
      </c>
      <c r="L43" s="589">
        <f t="shared" ref="L43:M43" si="42">K43</f>
        <v>64.930000000000007</v>
      </c>
      <c r="M43" s="589">
        <f t="shared" si="42"/>
        <v>64.930000000000007</v>
      </c>
      <c r="N43" s="600">
        <f>K43*(1+Inf)^3</f>
        <v>70.950764110000009</v>
      </c>
      <c r="O43" s="589">
        <f t="shared" ref="O43:P43" si="43">N43</f>
        <v>70.950764110000009</v>
      </c>
      <c r="P43" s="589">
        <f t="shared" si="43"/>
        <v>70.950764110000009</v>
      </c>
      <c r="Q43" s="605">
        <v>73.150000000000006</v>
      </c>
      <c r="R43" s="589">
        <f t="shared" ref="R43:S43" si="44">Q43</f>
        <v>73.150000000000006</v>
      </c>
      <c r="S43" s="589">
        <f t="shared" si="44"/>
        <v>73.150000000000006</v>
      </c>
      <c r="T43" s="600">
        <f>Q43*(1+Inf)^3</f>
        <v>79.932980050000012</v>
      </c>
      <c r="U43" s="589">
        <f t="shared" ref="U43:V43" si="45">T43</f>
        <v>79.932980050000012</v>
      </c>
      <c r="V43" s="589">
        <f t="shared" si="45"/>
        <v>79.932980050000012</v>
      </c>
      <c r="W43" s="605">
        <v>68.36</v>
      </c>
      <c r="X43" s="589">
        <f t="shared" ref="X43:Y43" si="46">W43</f>
        <v>68.36</v>
      </c>
      <c r="Y43" s="589">
        <f t="shared" si="46"/>
        <v>68.36</v>
      </c>
      <c r="Z43" s="600">
        <f>W43*(1+Inf)^3</f>
        <v>74.698817719999994</v>
      </c>
      <c r="AA43" s="589">
        <f t="shared" ref="AA43:AB43" si="47">Z43</f>
        <v>74.698817719999994</v>
      </c>
      <c r="AB43" s="589">
        <f t="shared" si="47"/>
        <v>74.698817719999994</v>
      </c>
      <c r="AC43" s="605">
        <v>78.86</v>
      </c>
      <c r="AD43" s="589">
        <f t="shared" ref="AD43:AE43" si="48">AC43</f>
        <v>78.86</v>
      </c>
      <c r="AE43" s="589">
        <f t="shared" si="48"/>
        <v>78.86</v>
      </c>
      <c r="AF43" s="600">
        <f>AC43*(1+Inf)^3</f>
        <v>86.172451219999999</v>
      </c>
      <c r="AG43" s="589">
        <f t="shared" ref="AG43:AH43" si="49">AF43</f>
        <v>86.172451219999999</v>
      </c>
      <c r="AH43" s="589">
        <f t="shared" si="49"/>
        <v>86.172451219999999</v>
      </c>
      <c r="AI43" s="605">
        <v>78.790000000000006</v>
      </c>
      <c r="AJ43" s="589">
        <f t="shared" ref="AJ43:AK43" si="50">AI43</f>
        <v>78.790000000000006</v>
      </c>
      <c r="AK43" s="589">
        <f t="shared" si="50"/>
        <v>78.790000000000006</v>
      </c>
      <c r="AL43" s="600">
        <f>AI43*(1+Inf)^3</f>
        <v>86.095960330000011</v>
      </c>
      <c r="AM43" s="589">
        <f t="shared" ref="AM43:AN43" si="51">AL43</f>
        <v>86.095960330000011</v>
      </c>
      <c r="AN43" s="589">
        <f t="shared" si="51"/>
        <v>86.095960330000011</v>
      </c>
      <c r="AO43" s="605">
        <v>91.7</v>
      </c>
      <c r="AP43" s="589">
        <f t="shared" ref="AP43:AQ43" si="52">AO43</f>
        <v>91.7</v>
      </c>
      <c r="AQ43" s="589">
        <f t="shared" si="52"/>
        <v>91.7</v>
      </c>
      <c r="AR43" s="600">
        <f>AO43*(1+Inf)^3</f>
        <v>100.2030659</v>
      </c>
      <c r="AS43" s="589">
        <f t="shared" ref="AS43:AT43" si="53">AR43</f>
        <v>100.2030659</v>
      </c>
      <c r="AT43" s="589">
        <f t="shared" si="53"/>
        <v>100.2030659</v>
      </c>
      <c r="AU43" s="605">
        <v>50.5</v>
      </c>
    </row>
    <row r="44" spans="1:47" s="591" customFormat="1" ht="12" customHeight="1" outlineLevel="1" x14ac:dyDescent="0.25">
      <c r="A44" s="587"/>
      <c r="B44" s="538"/>
      <c r="C44" s="538"/>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c r="AH44" s="589"/>
      <c r="AI44" s="589"/>
      <c r="AJ44" s="589"/>
      <c r="AK44" s="589"/>
      <c r="AL44" s="589"/>
      <c r="AM44" s="589"/>
      <c r="AN44" s="589"/>
      <c r="AO44" s="589"/>
      <c r="AP44" s="589"/>
      <c r="AQ44" s="589"/>
      <c r="AR44" s="589"/>
      <c r="AS44" s="589"/>
      <c r="AT44" s="589"/>
      <c r="AU44" s="589"/>
    </row>
    <row r="45" spans="1:47" x14ac:dyDescent="0.25">
      <c r="A45" s="580" t="s">
        <v>531</v>
      </c>
      <c r="E45" s="15"/>
      <c r="F45" s="16"/>
    </row>
    <row r="46" spans="1:47" ht="13" x14ac:dyDescent="0.3">
      <c r="A46" s="3"/>
      <c r="B46" s="14"/>
      <c r="C46" s="538" t="s">
        <v>47</v>
      </c>
      <c r="D46" s="661" t="s">
        <v>63</v>
      </c>
      <c r="E46" s="662">
        <f>VLOOKUP(E2,Tons!$B$10:$F$130,2, FALSE)*2/12*$E$43</f>
        <v>385196.86806708865</v>
      </c>
      <c r="F46" s="662">
        <f>VLOOKUP(F2,Tons!$B$10:$F$130,2, FALSE)*F43</f>
        <v>2369654.0929751163</v>
      </c>
      <c r="G46" s="662">
        <f>VLOOKUP(G2,Tons!$B$10:$F$130,2, FALSE)*G43</f>
        <v>2429606.3415273866</v>
      </c>
      <c r="H46" s="662">
        <f>VLOOKUP(H2,Tons!$B$10:$F$130,2, FALSE)*H43</f>
        <v>2722065.3289117794</v>
      </c>
      <c r="I46" s="662">
        <f>VLOOKUP(I2,Tons!$B$10:$F$130,2, FALSE)*I43</f>
        <v>2790933.5817332477</v>
      </c>
      <c r="J46" s="662">
        <f>VLOOKUP(J2,Tons!$B$10:$F$130,2, FALSE)*J43</f>
        <v>2861544.2013510992</v>
      </c>
      <c r="K46" s="662">
        <f>VLOOKUP(K2,Tons!$B$10:$F$130,2, FALSE)*K43</f>
        <v>2664453.9858608758</v>
      </c>
      <c r="L46" s="662">
        <f>VLOOKUP(L2,Tons!$B$10:$F$130,2, FALSE)*L43</f>
        <v>2731864.6717031561</v>
      </c>
      <c r="M46" s="662">
        <f>VLOOKUP(M2,Tons!$B$10:$F$130,2, FALSE)*M43</f>
        <v>2800980.847897246</v>
      </c>
      <c r="N46" s="662">
        <f>VLOOKUP(N2,Tons!$B$10:$F$130,2, FALSE)*N43</f>
        <v>3138143.296174414</v>
      </c>
      <c r="O46" s="662">
        <f>VLOOKUP(O2,Tons!$B$10:$F$130,2, FALSE)*O43</f>
        <v>3217538.3215676271</v>
      </c>
      <c r="P46" s="662">
        <f>VLOOKUP(P2,Tons!$B$10:$F$130,2, FALSE)*P43</f>
        <v>3298942.0411032881</v>
      </c>
      <c r="Q46" s="662">
        <f>VLOOKUP(Q2,Tons!$B$10:$F$130,2, FALSE)*Q43</f>
        <v>3487248.5018465463</v>
      </c>
      <c r="R46" s="662">
        <f>VLOOKUP(R2,Tons!$B$10:$F$130,2, FALSE)*R43</f>
        <v>3575475.8889432638</v>
      </c>
      <c r="S46" s="662">
        <f>VLOOKUP(S2,Tons!$B$10:$F$130,2, FALSE)*S43</f>
        <v>3665935.4289335287</v>
      </c>
      <c r="T46" s="662">
        <f>VLOOKUP(T2,Tons!$B$10:$F$130,2, FALSE)*T43</f>
        <v>4107215.049025591</v>
      </c>
      <c r="U46" s="662">
        <f>VLOOKUP(U2,Tons!$B$10:$F$130,2, FALSE)*U43</f>
        <v>4211127.5897659389</v>
      </c>
      <c r="V46" s="662">
        <f>VLOOKUP(V2,Tons!$B$10:$F$130,2, FALSE)*V43</f>
        <v>4317669.1177870175</v>
      </c>
      <c r="W46" s="662">
        <f>VLOOKUP(W2,Tons!$B$10:$F$130,2, FALSE)*W43</f>
        <v>3785962.9902849603</v>
      </c>
      <c r="X46" s="662">
        <f>VLOOKUP(X2,Tons!$B$10:$F$130,2, FALSE)*X43</f>
        <v>3881747.85393917</v>
      </c>
      <c r="Y46" s="662">
        <f>VLOOKUP(Y2,Tons!$B$10:$F$130,2, FALSE)*Y43</f>
        <v>3979956.0746438317</v>
      </c>
      <c r="Z46" s="662">
        <f>VLOOKUP(Z2,Tons!$B$10:$F$130,2, FALSE)*Z43</f>
        <v>4459035.2997552361</v>
      </c>
      <c r="AA46" s="662">
        <f>VLOOKUP(AA2,Tons!$B$10:$F$130,2, FALSE)*AA43</f>
        <v>4571848.8928390443</v>
      </c>
      <c r="AB46" s="662">
        <f>VLOOKUP(AB2,Tons!$B$10:$F$130,2, FALSE)*AB43</f>
        <v>4687516.6698278729</v>
      </c>
      <c r="AC46" s="662">
        <f>VLOOKUP(AC2,Tons!$B$10:$F$130,2, FALSE)*AC43</f>
        <v>5073840.6916591628</v>
      </c>
      <c r="AD46" s="662">
        <f>VLOOKUP(AD2,Tons!$B$10:$F$130,2, FALSE)*AD43</f>
        <v>5202208.86115814</v>
      </c>
      <c r="AE46" s="662">
        <f>VLOOKUP(AE2,Tons!$B$10:$F$130,2, FALSE)*AE43</f>
        <v>5333824.7453454407</v>
      </c>
      <c r="AF46" s="662">
        <f>VLOOKUP(AF2,Tons!$B$10:$F$130,2, FALSE)*AF43</f>
        <v>5975873.1946135182</v>
      </c>
      <c r="AG46" s="662">
        <f>VLOOKUP(AG2,Tons!$B$10:$F$130,2, FALSE)*AG43</f>
        <v>6127062.7864372414</v>
      </c>
      <c r="AH46" s="662">
        <f>VLOOKUP(AH2,Tons!$B$10:$F$130,2, FALSE)*AH43</f>
        <v>6282077.4749341039</v>
      </c>
      <c r="AI46" s="662">
        <f>VLOOKUP(AI2,Tons!$B$10:$F$130,2, FALSE)*AI43</f>
        <v>5889208.0779500958</v>
      </c>
      <c r="AJ46" s="662">
        <f>VLOOKUP(AJ2,Tons!$B$10:$F$130,2, FALSE)*AJ43</f>
        <v>6038205.0423222333</v>
      </c>
      <c r="AK46" s="662">
        <f>VLOOKUP(AK2,Tons!$B$10:$F$130,2, FALSE)*AK43</f>
        <v>6190971.6298929863</v>
      </c>
      <c r="AL46" s="662">
        <f>VLOOKUP(AL2,Tons!$B$10:$F$130,2, FALSE)*AL43</f>
        <v>6936197.4151803916</v>
      </c>
      <c r="AM46" s="662">
        <f>VLOOKUP(AM2,Tons!$B$10:$F$130,2, FALSE)*AM43</f>
        <v>7111683.2097844565</v>
      </c>
      <c r="AN46" s="662">
        <f>VLOOKUP(AN2,Tons!$B$10:$F$130,2, FALSE)*AN43</f>
        <v>7291608.7949920045</v>
      </c>
      <c r="AO46" s="662">
        <f>VLOOKUP(AO2,Tons!$B$10:$F$130,2, FALSE)*AO43</f>
        <v>7962709.6230013818</v>
      </c>
      <c r="AP46" s="662">
        <f>VLOOKUP(AP2,Tons!$B$10:$F$130,2, FALSE)*AP43</f>
        <v>8164166.1764633181</v>
      </c>
      <c r="AQ46" s="662">
        <f>VLOOKUP(AQ2,Tons!$B$10:$F$130,2, FALSE)*AQ43</f>
        <v>8370719.5807278408</v>
      </c>
      <c r="AR46" s="662">
        <f>VLOOKUP(AR2,Tons!$B$10:$F$130,2, FALSE)*AR43</f>
        <v>9378328.1510608289</v>
      </c>
      <c r="AS46" s="662">
        <f>VLOOKUP(AS2,Tons!$B$10:$F$130,2, FALSE)*AS43</f>
        <v>9615599.8532826696</v>
      </c>
      <c r="AT46" s="662">
        <f>VLOOKUP(AT2,Tons!$B$10:$F$130,2, FALSE)*AT43</f>
        <v>9858874.5295707211</v>
      </c>
      <c r="AU46" s="662">
        <f>VLOOKUP(AU2,Tons!$B$10:$F$130,2, FALSE)*AU43</f>
        <v>5094348.6628988218</v>
      </c>
    </row>
    <row r="47" spans="1:47" ht="13" x14ac:dyDescent="0.3">
      <c r="A47" s="13"/>
      <c r="B47" s="14"/>
      <c r="C47" s="538" t="s">
        <v>48</v>
      </c>
      <c r="D47" s="661" t="s">
        <v>63</v>
      </c>
      <c r="E47" s="662">
        <f>VLOOKUP(E2,Tons!$B$10:$F$130,3, FALSE)*2/12*E43</f>
        <v>83579.186831382773</v>
      </c>
      <c r="F47" s="662">
        <f>VLOOKUP(F2,Tons!$B$10:$F$130,3, FALSE)*F43</f>
        <v>504183.08664163348</v>
      </c>
      <c r="G47" s="662">
        <f>VLOOKUP(G2,Tons!$B$10:$F$130,3, FALSE)*G43</f>
        <v>506905.67530949827</v>
      </c>
      <c r="H47" s="662">
        <f>VLOOKUP(H2,Tons!$B$10:$F$130,3, FALSE)*H43</f>
        <v>556900.62926038739</v>
      </c>
      <c r="I47" s="662">
        <f>VLOOKUP(I2,Tons!$B$10:$F$130,3, FALSE)*I43</f>
        <v>559907.89265839348</v>
      </c>
      <c r="J47" s="662">
        <f>VLOOKUP(J2,Tons!$B$10:$F$130,3, FALSE)*J43</f>
        <v>562931.39527874882</v>
      </c>
      <c r="K47" s="662">
        <f>VLOOKUP(K2,Tons!$B$10:$F$130,3, FALSE)*K43</f>
        <v>513985.84608292335</v>
      </c>
      <c r="L47" s="662">
        <f>VLOOKUP(L2,Tons!$B$10:$F$130,3, FALSE)*L43</f>
        <v>516761.36965177121</v>
      </c>
      <c r="M47" s="662">
        <f>VLOOKUP(M2,Tons!$B$10:$F$130,3, FALSE)*M43</f>
        <v>519551.88104789081</v>
      </c>
      <c r="N47" s="662">
        <f>VLOOKUP(N2,Tons!$B$10:$F$130,3, FALSE)*N43</f>
        <v>570794.10151075642</v>
      </c>
      <c r="O47" s="662">
        <f>VLOOKUP(O2,Tons!$B$10:$F$130,3, FALSE)*O43</f>
        <v>573876.38965891453</v>
      </c>
      <c r="P47" s="662">
        <f>VLOOKUP(P2,Tons!$B$10:$F$130,3, FALSE)*P43</f>
        <v>576975.32216307276</v>
      </c>
      <c r="Q47" s="662">
        <f>VLOOKUP(Q2,Tons!$B$10:$F$130,3, FALSE)*Q43</f>
        <v>598071.86533535423</v>
      </c>
      <c r="R47" s="662">
        <f>VLOOKUP(R2,Tons!$B$10:$F$130,3, FALSE)*R43</f>
        <v>601301.45340816514</v>
      </c>
      <c r="S47" s="662">
        <f>VLOOKUP(S2,Tons!$B$10:$F$130,3, FALSE)*S43</f>
        <v>604548.48125656939</v>
      </c>
      <c r="T47" s="662">
        <f>VLOOKUP(T2,Tons!$B$10:$F$130,3, FALSE)*T43</f>
        <v>664173.72309874883</v>
      </c>
      <c r="U47" s="662">
        <f>VLOOKUP(U2,Tons!$B$10:$F$130,3, FALSE)*U43</f>
        <v>667760.26120348205</v>
      </c>
      <c r="V47" s="662">
        <f>VLOOKUP(V2,Tons!$B$10:$F$130,3, FALSE)*V43</f>
        <v>671366.16661398101</v>
      </c>
      <c r="W47" s="662">
        <f>VLOOKUP(W2,Tons!$B$10:$F$130,3, FALSE)*W43</f>
        <v>577263.87672619103</v>
      </c>
      <c r="X47" s="662">
        <f>VLOOKUP(X2,Tons!$B$10:$F$130,3, FALSE)*X43</f>
        <v>580381.1016605125</v>
      </c>
      <c r="Y47" s="662">
        <f>VLOOKUP(Y2,Tons!$B$10:$F$130,3, FALSE)*Y43</f>
        <v>583515.15960947936</v>
      </c>
      <c r="Z47" s="662">
        <f>VLOOKUP(Z2,Tons!$B$10:$F$130,3, FALSE)*Z43</f>
        <v>641065.93277158646</v>
      </c>
      <c r="AA47" s="662">
        <f>VLOOKUP(AA2,Tons!$B$10:$F$130,3, FALSE)*AA43</f>
        <v>644527.68880855292</v>
      </c>
      <c r="AB47" s="662">
        <f>VLOOKUP(AB2,Tons!$B$10:$F$130,3, FALSE)*AB43</f>
        <v>648008.1383281193</v>
      </c>
      <c r="AC47" s="662">
        <f>VLOOKUP(AC2,Tons!$B$10:$F$130,3, FALSE)*AC43</f>
        <v>687800.33920747961</v>
      </c>
      <c r="AD47" s="662">
        <f>VLOOKUP(AD2,Tons!$B$10:$F$130,3, FALSE)*AD43</f>
        <v>691514.46103920008</v>
      </c>
      <c r="AE47" s="662">
        <f>VLOOKUP(AE2,Tons!$B$10:$F$130,3, FALSE)*AE43</f>
        <v>695248.63912881177</v>
      </c>
      <c r="AF47" s="662">
        <f>VLOOKUP(AF2,Tons!$B$10:$F$130,3, FALSE)*AF43</f>
        <v>763819.4312716315</v>
      </c>
      <c r="AG47" s="662">
        <f>VLOOKUP(AG2,Tons!$B$10:$F$130,3, FALSE)*AG43</f>
        <v>767944.05620049837</v>
      </c>
      <c r="AH47" s="662">
        <f>VLOOKUP(AH2,Tons!$B$10:$F$130,3, FALSE)*AH43</f>
        <v>772090.95410398103</v>
      </c>
      <c r="AI47" s="662">
        <f>VLOOKUP(AI2,Tons!$B$10:$F$130,3, FALSE)*AI43</f>
        <v>709757.51365810435</v>
      </c>
      <c r="AJ47" s="662">
        <f>VLOOKUP(AJ2,Tons!$B$10:$F$130,3, FALSE)*AJ43</f>
        <v>713590.20423185814</v>
      </c>
      <c r="AK47" s="662">
        <f>VLOOKUP(AK2,Tons!$B$10:$F$130,3, FALSE)*AK43</f>
        <v>717443.59133471025</v>
      </c>
      <c r="AL47" s="662">
        <f>VLOOKUP(AL2,Tons!$B$10:$F$130,3, FALSE)*AL43</f>
        <v>788203.42113783746</v>
      </c>
      <c r="AM47" s="662">
        <f>VLOOKUP(AM2,Tons!$B$10:$F$130,3, FALSE)*AM43</f>
        <v>792459.71961198177</v>
      </c>
      <c r="AN47" s="662">
        <f>VLOOKUP(AN2,Tons!$B$10:$F$130,3, FALSE)*AN43</f>
        <v>796739.00209788664</v>
      </c>
      <c r="AO47" s="662">
        <f>VLOOKUP(AO2,Tons!$B$10:$F$130,3, FALSE)*AO43</f>
        <v>853181.67577067588</v>
      </c>
      <c r="AP47" s="662">
        <f>VLOOKUP(AP2,Tons!$B$10:$F$130,3, FALSE)*AP43</f>
        <v>857788.8568198377</v>
      </c>
      <c r="AQ47" s="662">
        <f>VLOOKUP(AQ2,Tons!$B$10:$F$130,3, FALSE)*AQ43</f>
        <v>862420.91664666496</v>
      </c>
      <c r="AR47" s="662">
        <f>VLOOKUP(AR2,Tons!$B$10:$F$130,3, FALSE)*AR43</f>
        <v>947479.53033787676</v>
      </c>
      <c r="AS47" s="662">
        <f>VLOOKUP(AS2,Tons!$B$10:$F$130,3, FALSE)*AS43</f>
        <v>952595.91980170133</v>
      </c>
      <c r="AT47" s="662">
        <f>VLOOKUP(AT2,Tons!$B$10:$F$130,3, FALSE)*AT43</f>
        <v>957739.93776863068</v>
      </c>
      <c r="AU47" s="662">
        <f>VLOOKUP(AU2,Tons!$B$10:$F$130,3, FALSE)*AU43</f>
        <v>485284.97707718698</v>
      </c>
    </row>
    <row r="48" spans="1:47" ht="13" x14ac:dyDescent="0.3">
      <c r="A48" s="13"/>
      <c r="B48" s="14"/>
      <c r="C48" s="538" t="s">
        <v>49</v>
      </c>
      <c r="D48" s="661" t="s">
        <v>63</v>
      </c>
      <c r="E48" s="662">
        <f>VLOOKUP(E2,Tons!$B$10:$F$130,4, FALSE)*2/12*E43</f>
        <v>5455.6324612500002</v>
      </c>
      <c r="F48" s="662">
        <f>VLOOKUP(F2,Tons!$B$10:$F$130,4, FALSE)*F43</f>
        <v>32733.794767500003</v>
      </c>
      <c r="G48" s="662">
        <f>VLOOKUP(G2,Tons!$B$10:$F$130,4, FALSE)*G43</f>
        <v>32733.794767500003</v>
      </c>
      <c r="H48" s="662">
        <f>VLOOKUP(H2,Tons!$B$10:$F$130,4, FALSE)*H43</f>
        <v>35769.101354905972</v>
      </c>
      <c r="I48" s="662">
        <f>VLOOKUP(I2,Tons!$B$10:$F$130,4, FALSE)*I43</f>
        <v>35769.101354905972</v>
      </c>
      <c r="J48" s="662">
        <f>VLOOKUP(J2,Tons!$B$10:$F$130,4, FALSE)*J43</f>
        <v>35769.101354905972</v>
      </c>
      <c r="K48" s="662">
        <f>VLOOKUP(K2,Tons!$B$10:$F$130,4, FALSE)*K43</f>
        <v>32483.651142500003</v>
      </c>
      <c r="L48" s="662">
        <f>VLOOKUP(L2,Tons!$B$10:$F$130,4, FALSE)*L43</f>
        <v>32483.651142500003</v>
      </c>
      <c r="M48" s="662">
        <f>VLOOKUP(M2,Tons!$B$10:$F$130,4, FALSE)*M43</f>
        <v>32483.651142500003</v>
      </c>
      <c r="N48" s="662">
        <f>VLOOKUP(N2,Tons!$B$10:$F$130,4, FALSE)*N43</f>
        <v>35495.7626619906</v>
      </c>
      <c r="O48" s="662">
        <f>VLOOKUP(O2,Tons!$B$10:$F$130,4, FALSE)*O43</f>
        <v>35495.7626619906</v>
      </c>
      <c r="P48" s="662">
        <f>VLOOKUP(P2,Tons!$B$10:$F$130,4, FALSE)*P43</f>
        <v>35495.7626619906</v>
      </c>
      <c r="Q48" s="662">
        <f>VLOOKUP(Q2,Tons!$B$10:$F$130,4, FALSE)*Q43</f>
        <v>36596.012337500004</v>
      </c>
      <c r="R48" s="662">
        <f>VLOOKUP(R2,Tons!$B$10:$F$130,4, FALSE)*R43</f>
        <v>36596.012337500004</v>
      </c>
      <c r="S48" s="662">
        <f>VLOOKUP(S2,Tons!$B$10:$F$130,4, FALSE)*S43</f>
        <v>36596.012337500004</v>
      </c>
      <c r="T48" s="662">
        <f>VLOOKUP(T2,Tons!$B$10:$F$130,4, FALSE)*T43</f>
        <v>39989.450773519369</v>
      </c>
      <c r="U48" s="662">
        <f>VLOOKUP(U2,Tons!$B$10:$F$130,4, FALSE)*U43</f>
        <v>39989.450773519369</v>
      </c>
      <c r="V48" s="662">
        <f>VLOOKUP(V2,Tons!$B$10:$F$130,4, FALSE)*V43</f>
        <v>39989.450773519369</v>
      </c>
      <c r="W48" s="662">
        <f>VLOOKUP(W2,Tons!$B$10:$F$130,4, FALSE)*W43</f>
        <v>34199.636409999999</v>
      </c>
      <c r="X48" s="662">
        <f>VLOOKUP(X2,Tons!$B$10:$F$130,4, FALSE)*X43</f>
        <v>34199.636409999999</v>
      </c>
      <c r="Y48" s="662">
        <f>VLOOKUP(Y2,Tons!$B$10:$F$130,4, FALSE)*Y43</f>
        <v>34199.636409999999</v>
      </c>
      <c r="Z48" s="662">
        <f>VLOOKUP(Z2,Tons!$B$10:$F$130,4, FALSE)*Z43</f>
        <v>37370.866095390062</v>
      </c>
      <c r="AA48" s="662">
        <f>VLOOKUP(AA2,Tons!$B$10:$F$130,4, FALSE)*AA43</f>
        <v>37370.866095390062</v>
      </c>
      <c r="AB48" s="662">
        <f>VLOOKUP(AB2,Tons!$B$10:$F$130,4, FALSE)*AB43</f>
        <v>37370.866095390062</v>
      </c>
      <c r="AC48" s="662">
        <f>VLOOKUP(AC2,Tons!$B$10:$F$130,4, FALSE)*AC43</f>
        <v>39452.652535000001</v>
      </c>
      <c r="AD48" s="662">
        <f>VLOOKUP(AD2,Tons!$B$10:$F$130,4, FALSE)*AD43</f>
        <v>39452.652535000001</v>
      </c>
      <c r="AE48" s="662">
        <f>VLOOKUP(AE2,Tons!$B$10:$F$130,4, FALSE)*AE43</f>
        <v>39452.652535000001</v>
      </c>
      <c r="AF48" s="662">
        <f>VLOOKUP(AF2,Tons!$B$10:$F$130,4, FALSE)*AF43</f>
        <v>43110.978646612944</v>
      </c>
      <c r="AG48" s="662">
        <f>VLOOKUP(AG2,Tons!$B$10:$F$130,4, FALSE)*AG43</f>
        <v>43110.978646612944</v>
      </c>
      <c r="AH48" s="662">
        <f>VLOOKUP(AH2,Tons!$B$10:$F$130,4, FALSE)*AH43</f>
        <v>43110.978646612944</v>
      </c>
      <c r="AI48" s="662">
        <f>VLOOKUP(AI2,Tons!$B$10:$F$130,4, FALSE)*AI43</f>
        <v>39417.632427500001</v>
      </c>
      <c r="AJ48" s="662">
        <f>VLOOKUP(AJ2,Tons!$B$10:$F$130,4, FALSE)*AJ43</f>
        <v>39417.632427500001</v>
      </c>
      <c r="AK48" s="662">
        <f>VLOOKUP(AK2,Tons!$B$10:$F$130,4, FALSE)*AK43</f>
        <v>39417.632427500001</v>
      </c>
      <c r="AL48" s="662">
        <f>VLOOKUP(AL2,Tons!$B$10:$F$130,4, FALSE)*AL43</f>
        <v>43072.711229604793</v>
      </c>
      <c r="AM48" s="662">
        <f>VLOOKUP(AM2,Tons!$B$10:$F$130,4, FALSE)*AM43</f>
        <v>43072.711229604793</v>
      </c>
      <c r="AN48" s="662">
        <f>VLOOKUP(AN2,Tons!$B$10:$F$130,4, FALSE)*AN43</f>
        <v>43072.711229604793</v>
      </c>
      <c r="AO48" s="662">
        <f>VLOOKUP(AO2,Tons!$B$10:$F$130,4, FALSE)*AO43</f>
        <v>45876.340824999999</v>
      </c>
      <c r="AP48" s="662">
        <f>VLOOKUP(AP2,Tons!$B$10:$F$130,4, FALSE)*AP43</f>
        <v>45876.340824999999</v>
      </c>
      <c r="AQ48" s="662">
        <f>VLOOKUP(AQ2,Tons!$B$10:$F$130,4, FALSE)*AQ43</f>
        <v>45876.340824999999</v>
      </c>
      <c r="AR48" s="662">
        <f>VLOOKUP(AR2,Tons!$B$10:$F$130,4, FALSE)*AR43</f>
        <v>50130.31628067977</v>
      </c>
      <c r="AS48" s="662">
        <f>VLOOKUP(AS2,Tons!$B$10:$F$130,4, FALSE)*AS43</f>
        <v>50130.31628067977</v>
      </c>
      <c r="AT48" s="662">
        <f>VLOOKUP(AT2,Tons!$B$10:$F$130,4, FALSE)*AT43</f>
        <v>50130.31628067977</v>
      </c>
      <c r="AU48" s="662">
        <f>VLOOKUP(AU2,Tons!$B$10:$F$130,4, FALSE)*AU43</f>
        <v>25264.506125</v>
      </c>
    </row>
    <row r="49" spans="1:47" ht="13" x14ac:dyDescent="0.3">
      <c r="A49" s="3"/>
      <c r="B49" s="14"/>
      <c r="C49" s="538" t="s">
        <v>53</v>
      </c>
      <c r="D49" s="661" t="s">
        <v>63</v>
      </c>
      <c r="E49" s="663" t="s">
        <v>63</v>
      </c>
      <c r="F49" s="662">
        <f>VLOOKUP(F2,Tons!$B$10:$F$130,5, FALSE)*3/12*F43</f>
        <v>194651.48988165052</v>
      </c>
      <c r="G49" s="662">
        <f>VLOOKUP(G2,Tons!$B$10:$F$130,5, FALSE)*G43</f>
        <v>806168.61049384368</v>
      </c>
      <c r="H49" s="662">
        <f>VLOOKUP(H2,Tons!$B$10:$F$130,5, FALSE)*H43</f>
        <v>912106.85337537073</v>
      </c>
      <c r="I49" s="662">
        <f>VLOOKUP(I2,Tons!$B$10:$F$130,5, FALSE)*I43</f>
        <v>944395.43598485901</v>
      </c>
      <c r="J49" s="662">
        <f>VLOOKUP(J2,Tons!$B$10:$F$130,5, FALSE)*J43</f>
        <v>977827.03441872308</v>
      </c>
      <c r="K49" s="662">
        <f>VLOOKUP(K2,Tons!$B$10:$F$130,5, FALSE)*K43</f>
        <v>919447.65465542162</v>
      </c>
      <c r="L49" s="662">
        <f>VLOOKUP(L2,Tons!$B$10:$F$130,5, FALSE)*L43</f>
        <v>951996.10163022368</v>
      </c>
      <c r="M49" s="662">
        <f>VLOOKUP(M2,Tons!$B$10:$F$130,5, FALSE)*M43</f>
        <v>985696.76362793357</v>
      </c>
      <c r="N49" s="662">
        <f>VLOOKUP(N2,Tons!$B$10:$F$130,5, FALSE)*N43</f>
        <v>1115226.7177758429</v>
      </c>
      <c r="O49" s="662">
        <f>VLOOKUP(O2,Tons!$B$10:$F$130,5, FALSE)*O43</f>
        <v>1154705.7435851076</v>
      </c>
      <c r="P49" s="662">
        <f>VLOOKUP(P2,Tons!$B$10:$F$130,5, FALSE)*P43</f>
        <v>1195582.3269080205</v>
      </c>
      <c r="Q49" s="662">
        <f>VLOOKUP(Q2,Tons!$B$10:$F$130,5, FALSE)*Q43</f>
        <v>1276276.8765151398</v>
      </c>
      <c r="R49" s="662">
        <f>VLOOKUP(R2,Tons!$B$10:$F$130,5, FALSE)*R43</f>
        <v>1321457.077943776</v>
      </c>
      <c r="S49" s="662">
        <f>VLOOKUP(S2,Tons!$B$10:$F$130,5, FALSE)*S43</f>
        <v>1368236.658502986</v>
      </c>
      <c r="T49" s="662">
        <f>VLOOKUP(T2,Tons!$B$10:$F$130,5, FALSE)*T43</f>
        <v>1548036.0026614068</v>
      </c>
      <c r="U49" s="662">
        <f>VLOOKUP(U2,Tons!$B$10:$F$130,5, FALSE)*U43</f>
        <v>1602836.4771556207</v>
      </c>
      <c r="V49" s="662">
        <f>VLOOKUP(V2,Tons!$B$10:$F$130,5, FALSE)*V43</f>
        <v>1659576.8884469299</v>
      </c>
      <c r="W49" s="662">
        <f>VLOOKUP(W2,Tons!$B$10:$F$130,5, FALSE)*W43</f>
        <v>1469540.5970663286</v>
      </c>
      <c r="X49" s="662">
        <f>VLOOKUP(X2,Tons!$B$10:$F$130,5, FALSE)*X43</f>
        <v>1521562.3342024765</v>
      </c>
      <c r="Y49" s="662">
        <f>VLOOKUP(Y2,Tons!$B$10:$F$130,5, FALSE)*Y43</f>
        <v>1575425.6408332444</v>
      </c>
      <c r="Z49" s="662">
        <f>VLOOKUP(Z2,Tons!$B$10:$F$130,5, FALSE)*Z43</f>
        <v>1782451.5929825585</v>
      </c>
      <c r="AA49" s="662">
        <f>VLOOKUP(AA2,Tons!$B$10:$F$130,5, FALSE)*AA43</f>
        <v>1845550.3793741411</v>
      </c>
      <c r="AB49" s="662">
        <f>VLOOKUP(AB2,Tons!$B$10:$F$130,5, FALSE)*AB43</f>
        <v>1910882.8628039861</v>
      </c>
      <c r="AC49" s="662">
        <f>VLOOKUP(AC2,Tons!$B$10:$F$130,5, FALSE)*AC43</f>
        <v>2088744.2666659106</v>
      </c>
      <c r="AD49" s="662">
        <f>VLOOKUP(AD2,Tons!$B$10:$F$130,5, FALSE)*AD43</f>
        <v>2162685.8137058839</v>
      </c>
      <c r="AE49" s="662">
        <f>VLOOKUP(AE2,Tons!$B$10:$F$130,5, FALSE)*AE43</f>
        <v>2239244.8915110729</v>
      </c>
      <c r="AF49" s="662">
        <f>VLOOKUP(AF2,Tons!$B$10:$F$130,5, FALSE)*AF43</f>
        <v>2533503.0232470646</v>
      </c>
      <c r="AG49" s="662">
        <f>VLOOKUP(AG2,Tons!$B$10:$F$130,5, FALSE)*AG43</f>
        <v>2623189.0302700107</v>
      </c>
      <c r="AH49" s="662">
        <f>VLOOKUP(AH2,Tons!$B$10:$F$130,5, FALSE)*AH43</f>
        <v>2716049.9219415695</v>
      </c>
      <c r="AI49" s="662">
        <f>VLOOKUP(AI2,Tons!$B$10:$F$130,5, FALSE)*AI43</f>
        <v>2571275.2081367378</v>
      </c>
      <c r="AJ49" s="662">
        <f>VLOOKUP(AJ2,Tons!$B$10:$F$130,5, FALSE)*AJ43</f>
        <v>2662298.3505047783</v>
      </c>
      <c r="AK49" s="662">
        <f>VLOOKUP(AK2,Tons!$B$10:$F$130,5, FALSE)*AK43</f>
        <v>2756543.7121126475</v>
      </c>
      <c r="AL49" s="662">
        <f>VLOOKUP(AL2,Tons!$B$10:$F$130,5, FALSE)*AL43</f>
        <v>3118779.8417337798</v>
      </c>
      <c r="AM49" s="662">
        <f>VLOOKUP(AM2,Tons!$B$10:$F$130,5, FALSE)*AM43</f>
        <v>3229184.6481311563</v>
      </c>
      <c r="AN49" s="662">
        <f>VLOOKUP(AN2,Tons!$B$10:$F$130,5, FALSE)*AN43</f>
        <v>3343497.7846749998</v>
      </c>
      <c r="AO49" s="662">
        <f>VLOOKUP(AO2,Tons!$B$10:$F$130,5, FALSE)*AO43</f>
        <v>3687192.0735488678</v>
      </c>
      <c r="AP49" s="662">
        <f>VLOOKUP(AP2,Tons!$B$10:$F$130,5, FALSE)*AP43</f>
        <v>3817718.6729524983</v>
      </c>
      <c r="AQ49" s="662">
        <f>VLOOKUP(AQ2,Tons!$B$10:$F$130,5, FALSE)*AQ43</f>
        <v>3952865.9139750167</v>
      </c>
      <c r="AR49" s="662">
        <f>VLOOKUP(AR2,Tons!$B$10:$F$130,5, FALSE)*AR43</f>
        <v>4472310.1888101166</v>
      </c>
      <c r="AS49" s="662">
        <f>VLOOKUP(AS2,Tons!$B$10:$F$130,5, FALSE)*AS43</f>
        <v>4630629.9694939945</v>
      </c>
      <c r="AT49" s="662">
        <f>VLOOKUP(AT2,Tons!$B$10:$F$130,5, FALSE)*AT43</f>
        <v>4794554.2704140823</v>
      </c>
      <c r="AU49" s="662">
        <f>VLOOKUP(AU2,Tons!$B$10:$F$130,5, FALSE)*AU43</f>
        <v>2501881.6846913509</v>
      </c>
    </row>
    <row r="50" spans="1:47" ht="13" x14ac:dyDescent="0.3">
      <c r="A50" s="8"/>
      <c r="B50" s="14"/>
      <c r="C50" s="14"/>
      <c r="D50" s="594"/>
      <c r="E50" s="12"/>
    </row>
    <row r="51" spans="1:47" ht="13" x14ac:dyDescent="0.3">
      <c r="A51" s="3"/>
      <c r="B51" s="14"/>
      <c r="C51" s="14"/>
      <c r="D51" s="14"/>
      <c r="E51" s="12"/>
      <c r="F51" s="17"/>
    </row>
    <row r="52" spans="1:47" ht="13" x14ac:dyDescent="0.3">
      <c r="A52" s="13"/>
      <c r="B52" s="14"/>
      <c r="C52" s="14"/>
      <c r="D52" s="14"/>
    </row>
    <row r="53" spans="1:47" ht="13" x14ac:dyDescent="0.3">
      <c r="A53" s="13"/>
      <c r="B53" s="14"/>
      <c r="C53" s="14"/>
      <c r="D53" s="14"/>
      <c r="F53" s="10"/>
    </row>
    <row r="54" spans="1:47" ht="13" x14ac:dyDescent="0.3">
      <c r="A54" s="18"/>
      <c r="C54" s="19"/>
      <c r="D54" s="19"/>
      <c r="F54" s="10"/>
    </row>
    <row r="55" spans="1:47" x14ac:dyDescent="0.25">
      <c r="A55" s="18"/>
      <c r="C55" s="3"/>
      <c r="D55" s="3"/>
      <c r="F55" s="10"/>
    </row>
    <row r="56" spans="1:47" x14ac:dyDescent="0.25">
      <c r="A56" s="18"/>
      <c r="C56" s="3"/>
      <c r="D56" s="3"/>
      <c r="F56" s="10"/>
    </row>
    <row r="57" spans="1:47" x14ac:dyDescent="0.25">
      <c r="A57" s="18"/>
      <c r="C57" s="3"/>
      <c r="D57" s="3"/>
      <c r="F57" s="10"/>
    </row>
    <row r="58" spans="1:47" x14ac:dyDescent="0.25">
      <c r="A58" s="18"/>
      <c r="C58" s="3"/>
      <c r="D58" s="3"/>
      <c r="F58" s="10"/>
    </row>
    <row r="59" spans="1:47" x14ac:dyDescent="0.25">
      <c r="A59" s="18"/>
      <c r="C59" s="3"/>
      <c r="D59" s="3"/>
      <c r="F59" s="10"/>
    </row>
    <row r="60" spans="1:47" x14ac:dyDescent="0.25">
      <c r="A60" s="18"/>
      <c r="C60" s="3"/>
      <c r="D60" s="3"/>
      <c r="F60" s="10"/>
    </row>
    <row r="61" spans="1:47" x14ac:dyDescent="0.25">
      <c r="C61" s="3"/>
      <c r="D61" s="3"/>
      <c r="F61" s="10"/>
    </row>
    <row r="62" spans="1:47" x14ac:dyDescent="0.25">
      <c r="C62" s="3"/>
      <c r="D62" s="3"/>
      <c r="F62" s="10"/>
    </row>
    <row r="63" spans="1:47" x14ac:dyDescent="0.25">
      <c r="C63" s="3"/>
      <c r="D63" s="3"/>
      <c r="F63" s="10"/>
    </row>
    <row r="64" spans="1:47" x14ac:dyDescent="0.25">
      <c r="C64" s="3"/>
      <c r="D64" s="3"/>
      <c r="F64" s="10"/>
    </row>
    <row r="65" spans="2:6" x14ac:dyDescent="0.25">
      <c r="C65" s="3"/>
      <c r="D65" s="3"/>
      <c r="F65" s="10"/>
    </row>
    <row r="66" spans="2:6" x14ac:dyDescent="0.25">
      <c r="C66" s="3"/>
      <c r="D66" s="3"/>
      <c r="F66" s="10"/>
    </row>
    <row r="67" spans="2:6" x14ac:dyDescent="0.25">
      <c r="C67" s="3"/>
      <c r="D67" s="3"/>
      <c r="F67" s="10"/>
    </row>
    <row r="68" spans="2:6" x14ac:dyDescent="0.25">
      <c r="C68" s="3"/>
      <c r="D68" s="3"/>
      <c r="F68" s="10"/>
    </row>
    <row r="69" spans="2:6" x14ac:dyDescent="0.25">
      <c r="C69" s="3"/>
      <c r="D69" s="3"/>
      <c r="F69" s="10"/>
    </row>
    <row r="70" spans="2:6" x14ac:dyDescent="0.25">
      <c r="C70" s="3"/>
      <c r="D70" s="3"/>
      <c r="F70" s="10"/>
    </row>
    <row r="71" spans="2:6" x14ac:dyDescent="0.25">
      <c r="C71" s="3"/>
      <c r="D71" s="3"/>
      <c r="F71" s="10"/>
    </row>
    <row r="72" spans="2:6" x14ac:dyDescent="0.25">
      <c r="C72" s="3"/>
      <c r="D72" s="3"/>
      <c r="F72" s="10"/>
    </row>
    <row r="73" spans="2:6" x14ac:dyDescent="0.25">
      <c r="C73" s="3"/>
      <c r="D73" s="3"/>
      <c r="F73" s="10"/>
    </row>
    <row r="74" spans="2:6" ht="12.75" customHeight="1" x14ac:dyDescent="0.25">
      <c r="C74" s="3"/>
      <c r="D74" s="3"/>
      <c r="F74" s="10"/>
    </row>
    <row r="75" spans="2:6" ht="12.75" customHeight="1" x14ac:dyDescent="0.25">
      <c r="B75" s="3"/>
      <c r="C75" s="3"/>
      <c r="D75" s="12"/>
      <c r="F75" s="10"/>
    </row>
    <row r="76" spans="2:6" x14ac:dyDescent="0.25">
      <c r="C76" s="3"/>
      <c r="D76" s="3"/>
      <c r="F76" s="10"/>
    </row>
    <row r="77" spans="2:6" x14ac:dyDescent="0.25">
      <c r="C77" s="3"/>
      <c r="D77" s="3"/>
    </row>
    <row r="78" spans="2:6" x14ac:dyDescent="0.25">
      <c r="C78" s="3"/>
      <c r="D78" s="3"/>
    </row>
    <row r="79" spans="2:6" x14ac:dyDescent="0.25">
      <c r="C79" s="3"/>
      <c r="D79" s="3"/>
    </row>
    <row r="80" spans="2:6" x14ac:dyDescent="0.25">
      <c r="C80" s="3"/>
      <c r="D80" s="3"/>
    </row>
    <row r="81" spans="3:6" x14ac:dyDescent="0.25">
      <c r="C81" s="3"/>
      <c r="D81" s="3"/>
    </row>
    <row r="82" spans="3:6" x14ac:dyDescent="0.25">
      <c r="C82" s="3"/>
      <c r="D82" s="3"/>
    </row>
    <row r="83" spans="3:6" x14ac:dyDescent="0.25">
      <c r="C83" s="3"/>
      <c r="D83" s="3"/>
    </row>
    <row r="84" spans="3:6" x14ac:dyDescent="0.25">
      <c r="C84" s="3"/>
      <c r="D84" s="3"/>
    </row>
    <row r="85" spans="3:6" x14ac:dyDescent="0.25">
      <c r="C85" s="3"/>
      <c r="D85" s="3"/>
    </row>
    <row r="86" spans="3:6" x14ac:dyDescent="0.25">
      <c r="C86" s="3"/>
      <c r="D86" s="3"/>
    </row>
    <row r="87" spans="3:6" x14ac:dyDescent="0.25">
      <c r="C87" s="3"/>
      <c r="D87" s="3"/>
    </row>
    <row r="88" spans="3:6" x14ac:dyDescent="0.25">
      <c r="C88" s="3"/>
      <c r="D88" s="3"/>
      <c r="E88" s="12"/>
    </row>
    <row r="89" spans="3:6" x14ac:dyDescent="0.25">
      <c r="C89" s="3"/>
      <c r="D89" s="3"/>
      <c r="E89" s="12"/>
    </row>
    <row r="90" spans="3:6" x14ac:dyDescent="0.25">
      <c r="C90" s="3"/>
      <c r="D90" s="3"/>
      <c r="E90" s="20"/>
      <c r="F90" s="20"/>
    </row>
    <row r="91" spans="3:6" x14ac:dyDescent="0.25">
      <c r="C91" s="3"/>
      <c r="D91" s="3"/>
      <c r="E91" s="20"/>
      <c r="F91" s="20"/>
    </row>
    <row r="92" spans="3:6" x14ac:dyDescent="0.25">
      <c r="C92" s="3"/>
      <c r="D92" s="3"/>
      <c r="E92" s="20"/>
      <c r="F92" s="20"/>
    </row>
    <row r="93" spans="3:6" x14ac:dyDescent="0.25">
      <c r="C93" s="3"/>
      <c r="D93" s="3"/>
      <c r="E93" s="20"/>
      <c r="F93" s="20"/>
    </row>
    <row r="94" spans="3:6" x14ac:dyDescent="0.25">
      <c r="C94" s="3"/>
      <c r="D94" s="3"/>
      <c r="E94" s="20"/>
      <c r="F94" s="20"/>
    </row>
    <row r="95" spans="3:6" x14ac:dyDescent="0.25">
      <c r="C95" s="3"/>
      <c r="D95" s="3"/>
      <c r="E95" s="20"/>
      <c r="F95" s="20"/>
    </row>
    <row r="96" spans="3:6" x14ac:dyDescent="0.25">
      <c r="E96" s="20"/>
      <c r="F96" s="20"/>
    </row>
    <row r="97" spans="5:6" x14ac:dyDescent="0.25">
      <c r="E97" s="20"/>
      <c r="F97" s="20"/>
    </row>
    <row r="98" spans="5:6" x14ac:dyDescent="0.25">
      <c r="E98" s="20"/>
      <c r="F98" s="20"/>
    </row>
    <row r="99" spans="5:6" x14ac:dyDescent="0.25">
      <c r="E99" s="20"/>
      <c r="F99" s="20"/>
    </row>
    <row r="100" spans="5:6" x14ac:dyDescent="0.25">
      <c r="E100" s="20"/>
      <c r="F100" s="20"/>
    </row>
    <row r="101" spans="5:6" x14ac:dyDescent="0.25">
      <c r="E101" s="20"/>
      <c r="F101" s="20"/>
    </row>
    <row r="102" spans="5:6" x14ac:dyDescent="0.25">
      <c r="E102" s="20"/>
      <c r="F102" s="20"/>
    </row>
    <row r="103" spans="5:6" x14ac:dyDescent="0.25">
      <c r="E103" s="20"/>
      <c r="F103" s="20"/>
    </row>
    <row r="104" spans="5:6" x14ac:dyDescent="0.25">
      <c r="E104" s="20"/>
      <c r="F104" s="20"/>
    </row>
    <row r="105" spans="5:6" x14ac:dyDescent="0.25">
      <c r="E105" s="20"/>
      <c r="F105" s="20"/>
    </row>
    <row r="106" spans="5:6" x14ac:dyDescent="0.25">
      <c r="E106" s="20"/>
      <c r="F106" s="20"/>
    </row>
    <row r="107" spans="5:6" x14ac:dyDescent="0.25">
      <c r="E107" s="20"/>
      <c r="F107" s="20"/>
    </row>
    <row r="108" spans="5:6" x14ac:dyDescent="0.25">
      <c r="E108" s="20"/>
      <c r="F108" s="20"/>
    </row>
    <row r="109" spans="5:6" x14ac:dyDescent="0.25">
      <c r="E109" s="20"/>
      <c r="F109" s="20"/>
    </row>
    <row r="110" spans="5:6" x14ac:dyDescent="0.25">
      <c r="E110" s="20"/>
      <c r="F110" s="20"/>
    </row>
    <row r="111" spans="5:6" x14ac:dyDescent="0.25">
      <c r="E111" s="20"/>
      <c r="F111" s="20"/>
    </row>
    <row r="112" spans="5:6" x14ac:dyDescent="0.25">
      <c r="E112" s="20"/>
      <c r="F112" s="20"/>
    </row>
    <row r="113" spans="5:6" x14ac:dyDescent="0.25">
      <c r="E113" s="20"/>
      <c r="F113" s="20"/>
    </row>
    <row r="114" spans="5:6" x14ac:dyDescent="0.25">
      <c r="E114" s="20"/>
      <c r="F114" s="20"/>
    </row>
    <row r="115" spans="5:6" x14ac:dyDescent="0.25">
      <c r="E115" s="20"/>
      <c r="F115" s="20"/>
    </row>
    <row r="116" spans="5:6" x14ac:dyDescent="0.25">
      <c r="E116" s="20"/>
      <c r="F116" s="20"/>
    </row>
    <row r="117" spans="5:6" x14ac:dyDescent="0.25">
      <c r="E117" s="20"/>
      <c r="F117" s="20"/>
    </row>
    <row r="118" spans="5:6" x14ac:dyDescent="0.25">
      <c r="E118" s="20"/>
      <c r="F118" s="20"/>
    </row>
    <row r="119" spans="5:6" x14ac:dyDescent="0.25">
      <c r="E119" s="20"/>
      <c r="F119" s="20"/>
    </row>
    <row r="120" spans="5:6" x14ac:dyDescent="0.25">
      <c r="E120" s="20"/>
      <c r="F120" s="20"/>
    </row>
    <row r="121" spans="5:6" x14ac:dyDescent="0.25">
      <c r="E121" s="20"/>
      <c r="F121" s="20"/>
    </row>
    <row r="122" spans="5:6" x14ac:dyDescent="0.25">
      <c r="E122" s="20"/>
      <c r="F122" s="20"/>
    </row>
    <row r="123" spans="5:6" x14ac:dyDescent="0.25">
      <c r="E123" s="20"/>
      <c r="F123" s="20"/>
    </row>
    <row r="124" spans="5:6" x14ac:dyDescent="0.25">
      <c r="E124" s="20"/>
      <c r="F124" s="20"/>
    </row>
    <row r="125" spans="5:6" x14ac:dyDescent="0.25">
      <c r="E125" s="20"/>
      <c r="F125" s="20"/>
    </row>
    <row r="126" spans="5:6" x14ac:dyDescent="0.25">
      <c r="E126" s="20"/>
      <c r="F126" s="20"/>
    </row>
    <row r="127" spans="5:6" x14ac:dyDescent="0.25">
      <c r="E127" s="20"/>
      <c r="F127" s="20"/>
    </row>
    <row r="128" spans="5:6" x14ac:dyDescent="0.25">
      <c r="E128" s="20"/>
      <c r="F128" s="20"/>
    </row>
  </sheetData>
  <sheetProtection algorithmName="SHA-512" hashValue="hy6rvwHq1dToF07MTfypmFQIuZhlHTunc+TCyOx2385i77lQTxi6eB2PZ9wSv5GW/oSHfD9KTAcBwNcg0zi2sA==" saltValue="UryHxB0OvK29Oj+QuCykdA==" spinCount="100000" sheet="1" objects="1" scenarios="1"/>
  <printOptions gridLines="1"/>
  <pageMargins left="0.51" right="0.39" top="0.73" bottom="0.8" header="0.18" footer="0.25"/>
  <pageSetup paperSize="17" scale="37" fitToHeight="0" orientation="landscape" r:id="rId1"/>
  <headerFooter alignWithMargins="0">
    <oddFooter>&amp;L&amp;F  &amp;A
&amp;D  &amp;T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741B8-5F54-4A02-BCB1-9B98797BD7B1}">
  <sheetPr codeName="Sheet8">
    <tabColor theme="6" tint="0.39997558519241921"/>
    <pageSetUpPr fitToPage="1"/>
  </sheetPr>
  <dimension ref="A1:AU53"/>
  <sheetViews>
    <sheetView topLeftCell="A2" workbookViewId="0">
      <selection activeCell="E25" sqref="E25"/>
    </sheetView>
  </sheetViews>
  <sheetFormatPr defaultColWidth="9.1796875" defaultRowHeight="12.5" outlineLevelRow="2" x14ac:dyDescent="0.25"/>
  <cols>
    <col min="1" max="1" width="5.26953125" style="2" customWidth="1"/>
    <col min="2" max="2" width="4.453125" style="2" customWidth="1"/>
    <col min="3" max="3" width="51.7265625" style="2" customWidth="1"/>
    <col min="4" max="4" width="16.26953125" style="2" bestFit="1" customWidth="1"/>
    <col min="5" max="5" width="16.26953125" style="9" bestFit="1" customWidth="1"/>
    <col min="6" max="6" width="16.26953125" style="2" bestFit="1" customWidth="1"/>
    <col min="7" max="13" width="15.26953125" style="2" bestFit="1" customWidth="1"/>
    <col min="14" max="28" width="15.7265625" style="2" bestFit="1" customWidth="1"/>
    <col min="29" max="39" width="16.26953125" style="2" bestFit="1" customWidth="1"/>
    <col min="40" max="40" width="15.7265625" style="2" bestFit="1" customWidth="1"/>
    <col min="41" max="47" width="16.7265625" style="2" bestFit="1" customWidth="1"/>
    <col min="48" max="16384" width="9.1796875" style="2"/>
  </cols>
  <sheetData>
    <row r="1" spans="1:47" ht="18" x14ac:dyDescent="0.4">
      <c r="A1" s="4" t="s">
        <v>295</v>
      </c>
      <c r="B1" s="616"/>
      <c r="C1" s="616"/>
      <c r="D1" s="6" t="s">
        <v>362</v>
      </c>
      <c r="E1" s="6" t="s">
        <v>362</v>
      </c>
      <c r="F1" s="6" t="s">
        <v>362</v>
      </c>
      <c r="G1" s="6" t="s">
        <v>362</v>
      </c>
      <c r="H1" s="6" t="s">
        <v>362</v>
      </c>
      <c r="I1" s="6" t="s">
        <v>362</v>
      </c>
      <c r="J1" s="6" t="s">
        <v>362</v>
      </c>
      <c r="K1" s="6" t="s">
        <v>362</v>
      </c>
      <c r="L1" s="6" t="s">
        <v>362</v>
      </c>
      <c r="M1" s="6" t="s">
        <v>362</v>
      </c>
      <c r="N1" s="6" t="s">
        <v>362</v>
      </c>
      <c r="O1" s="6" t="s">
        <v>362</v>
      </c>
      <c r="P1" s="6" t="s">
        <v>362</v>
      </c>
      <c r="Q1" s="6" t="s">
        <v>362</v>
      </c>
      <c r="R1" s="6" t="s">
        <v>362</v>
      </c>
      <c r="S1" s="6" t="s">
        <v>362</v>
      </c>
      <c r="T1" s="6" t="s">
        <v>362</v>
      </c>
      <c r="U1" s="6" t="s">
        <v>362</v>
      </c>
      <c r="V1" s="6" t="s">
        <v>362</v>
      </c>
      <c r="W1" s="6" t="s">
        <v>362</v>
      </c>
      <c r="X1" s="6" t="s">
        <v>362</v>
      </c>
      <c r="Y1" s="6" t="s">
        <v>362</v>
      </c>
      <c r="Z1" s="6" t="s">
        <v>362</v>
      </c>
      <c r="AA1" s="6" t="s">
        <v>362</v>
      </c>
      <c r="AB1" s="6" t="s">
        <v>362</v>
      </c>
      <c r="AC1" s="6" t="s">
        <v>362</v>
      </c>
      <c r="AD1" s="6" t="s">
        <v>362</v>
      </c>
      <c r="AE1" s="6" t="s">
        <v>362</v>
      </c>
      <c r="AF1" s="6" t="s">
        <v>362</v>
      </c>
      <c r="AG1" s="6" t="s">
        <v>362</v>
      </c>
      <c r="AH1" s="6" t="s">
        <v>362</v>
      </c>
      <c r="AI1" s="6" t="s">
        <v>362</v>
      </c>
      <c r="AJ1" s="6" t="s">
        <v>362</v>
      </c>
      <c r="AK1" s="6" t="s">
        <v>362</v>
      </c>
      <c r="AL1" s="6" t="s">
        <v>362</v>
      </c>
      <c r="AM1" s="6" t="s">
        <v>362</v>
      </c>
      <c r="AN1" s="6" t="s">
        <v>362</v>
      </c>
      <c r="AO1" s="6" t="s">
        <v>362</v>
      </c>
      <c r="AP1" s="6" t="s">
        <v>362</v>
      </c>
      <c r="AQ1" s="6" t="s">
        <v>362</v>
      </c>
      <c r="AR1" s="6" t="s">
        <v>362</v>
      </c>
      <c r="AS1" s="6" t="s">
        <v>362</v>
      </c>
      <c r="AT1" s="6" t="s">
        <v>362</v>
      </c>
      <c r="AU1" s="6" t="s">
        <v>362</v>
      </c>
    </row>
    <row r="2" spans="1:47" ht="14" x14ac:dyDescent="0.3">
      <c r="A2" s="575" t="s">
        <v>44</v>
      </c>
      <c r="B2" s="616"/>
      <c r="C2" s="616"/>
      <c r="D2" s="6">
        <v>2023</v>
      </c>
      <c r="E2" s="6">
        <v>2024</v>
      </c>
      <c r="F2" s="650">
        <v>2025</v>
      </c>
      <c r="G2" s="6">
        <v>2026</v>
      </c>
      <c r="H2" s="650">
        <v>2027</v>
      </c>
      <c r="I2" s="6">
        <v>2028</v>
      </c>
      <c r="J2" s="650">
        <v>2029</v>
      </c>
      <c r="K2" s="6">
        <v>2030</v>
      </c>
      <c r="L2" s="650">
        <v>2031</v>
      </c>
      <c r="M2" s="6">
        <v>2032</v>
      </c>
      <c r="N2" s="650">
        <v>2033</v>
      </c>
      <c r="O2" s="6">
        <v>2034</v>
      </c>
      <c r="P2" s="650">
        <v>2035</v>
      </c>
      <c r="Q2" s="6">
        <v>2036</v>
      </c>
      <c r="R2" s="650">
        <v>2037</v>
      </c>
      <c r="S2" s="6">
        <v>2038</v>
      </c>
      <c r="T2" s="650">
        <v>2039</v>
      </c>
      <c r="U2" s="6">
        <v>2040</v>
      </c>
      <c r="V2" s="650">
        <v>2041</v>
      </c>
      <c r="W2" s="6">
        <v>2042</v>
      </c>
      <c r="X2" s="650">
        <v>2043</v>
      </c>
      <c r="Y2" s="6">
        <v>2044</v>
      </c>
      <c r="Z2" s="650">
        <v>2045</v>
      </c>
      <c r="AA2" s="6">
        <v>2046</v>
      </c>
      <c r="AB2" s="650">
        <v>2047</v>
      </c>
      <c r="AC2" s="6">
        <v>2048</v>
      </c>
      <c r="AD2" s="650">
        <v>2049</v>
      </c>
      <c r="AE2" s="6">
        <v>2050</v>
      </c>
      <c r="AF2" s="650">
        <v>2051</v>
      </c>
      <c r="AG2" s="6">
        <v>2052</v>
      </c>
      <c r="AH2" s="650">
        <v>2053</v>
      </c>
      <c r="AI2" s="6">
        <v>2054</v>
      </c>
      <c r="AJ2" s="650">
        <v>2055</v>
      </c>
      <c r="AK2" s="6">
        <v>2056</v>
      </c>
      <c r="AL2" s="650">
        <v>2057</v>
      </c>
      <c r="AM2" s="6">
        <v>2058</v>
      </c>
      <c r="AN2" s="650">
        <v>2059</v>
      </c>
      <c r="AO2" s="6">
        <v>2060</v>
      </c>
      <c r="AP2" s="650">
        <v>2061</v>
      </c>
      <c r="AQ2" s="6">
        <v>2062</v>
      </c>
      <c r="AR2" s="650">
        <v>2063</v>
      </c>
      <c r="AS2" s="6">
        <v>2064</v>
      </c>
      <c r="AT2" s="650">
        <v>2065</v>
      </c>
      <c r="AU2" s="6">
        <v>2066</v>
      </c>
    </row>
    <row r="3" spans="1:47" s="538" customFormat="1" ht="11.5" outlineLevel="2" x14ac:dyDescent="0.25">
      <c r="A3" s="651" t="s">
        <v>1</v>
      </c>
      <c r="B3" s="652"/>
      <c r="C3" s="652"/>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653"/>
      <c r="AJ3" s="653"/>
      <c r="AK3" s="653"/>
      <c r="AL3" s="653"/>
      <c r="AM3" s="653"/>
      <c r="AN3" s="653"/>
      <c r="AO3" s="653"/>
      <c r="AP3" s="653"/>
      <c r="AQ3" s="653"/>
      <c r="AR3" s="653"/>
      <c r="AS3" s="653"/>
      <c r="AT3" s="653"/>
      <c r="AU3" s="653"/>
    </row>
    <row r="4" spans="1:47" s="538" customFormat="1" ht="11.5" outlineLevel="2" x14ac:dyDescent="0.25">
      <c r="A4" s="579" t="s">
        <v>6</v>
      </c>
      <c r="B4" s="580" t="s">
        <v>301</v>
      </c>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row>
    <row r="5" spans="1:47" s="538" customFormat="1" ht="11.5" outlineLevel="2" x14ac:dyDescent="0.25">
      <c r="A5" s="581"/>
      <c r="B5" s="582"/>
      <c r="C5" s="538" t="s">
        <v>47</v>
      </c>
      <c r="D5" s="578">
        <v>0</v>
      </c>
      <c r="E5" s="609">
        <f>E45*E51</f>
        <v>66393.452544438289</v>
      </c>
      <c r="F5" s="609">
        <f t="shared" ref="F5:AU5" si="0">F45*F51</f>
        <v>382142.25569248002</v>
      </c>
      <c r="G5" s="609">
        <f t="shared" si="0"/>
        <v>340761.58614649333</v>
      </c>
      <c r="H5" s="609">
        <f t="shared" si="0"/>
        <v>362474.72452750022</v>
      </c>
      <c r="I5" s="609">
        <f t="shared" si="0"/>
        <v>372868.58595791314</v>
      </c>
      <c r="J5" s="609">
        <f t="shared" si="0"/>
        <v>383478.67024819576</v>
      </c>
      <c r="K5" s="609">
        <f t="shared" si="0"/>
        <v>408310.74004494521</v>
      </c>
      <c r="L5" s="609">
        <f t="shared" si="0"/>
        <v>419741.79503507336</v>
      </c>
      <c r="M5" s="609">
        <f t="shared" si="0"/>
        <v>431417.95069457346</v>
      </c>
      <c r="N5" s="609">
        <f t="shared" si="0"/>
        <v>460147.6136922845</v>
      </c>
      <c r="O5" s="609">
        <f t="shared" si="0"/>
        <v>473054.04337604018</v>
      </c>
      <c r="P5" s="609">
        <f t="shared" si="0"/>
        <v>486235.69856723741</v>
      </c>
      <c r="Q5" s="609">
        <f t="shared" si="0"/>
        <v>519024.32053590933</v>
      </c>
      <c r="R5" s="609">
        <f t="shared" si="0"/>
        <v>533433.21252945368</v>
      </c>
      <c r="S5" s="609">
        <f t="shared" si="0"/>
        <v>548151.46266334841</v>
      </c>
      <c r="T5" s="609">
        <f t="shared" si="0"/>
        <v>586318.20140731288</v>
      </c>
      <c r="U5" s="609">
        <f t="shared" si="0"/>
        <v>602429.28816637467</v>
      </c>
      <c r="V5" s="609">
        <f t="shared" si="0"/>
        <v>619051.49813761259</v>
      </c>
      <c r="W5" s="609">
        <f t="shared" si="0"/>
        <v>662948.37005156255</v>
      </c>
      <c r="X5" s="609">
        <f t="shared" si="0"/>
        <v>681163.71323911555</v>
      </c>
      <c r="Y5" s="609">
        <f t="shared" si="0"/>
        <v>699593.37223790446</v>
      </c>
      <c r="Z5" s="609">
        <f t="shared" si="0"/>
        <v>628812.89139359328</v>
      </c>
      <c r="AA5" s="609">
        <f t="shared" si="0"/>
        <v>645801.51581214857</v>
      </c>
      <c r="AB5" s="609">
        <f t="shared" si="0"/>
        <v>663626.6581964019</v>
      </c>
      <c r="AC5" s="609">
        <f t="shared" si="0"/>
        <v>707152.96355507476</v>
      </c>
      <c r="AD5" s="609">
        <f t="shared" si="0"/>
        <v>726259.06558420032</v>
      </c>
      <c r="AE5" s="609">
        <f t="shared" si="0"/>
        <v>745951.5593280514</v>
      </c>
      <c r="AF5" s="609">
        <f t="shared" si="0"/>
        <v>796072.32911845564</v>
      </c>
      <c r="AG5" s="609">
        <f t="shared" si="0"/>
        <v>817235.13700133504</v>
      </c>
      <c r="AH5" s="609">
        <f t="shared" si="0"/>
        <v>839216.75414085668</v>
      </c>
      <c r="AI5" s="609">
        <f t="shared" si="0"/>
        <v>896998.27663751692</v>
      </c>
      <c r="AJ5" s="609">
        <f t="shared" si="0"/>
        <v>787729.58212818962</v>
      </c>
      <c r="AK5" s="609">
        <f t="shared" si="0"/>
        <v>808808.08343233122</v>
      </c>
      <c r="AL5" s="609">
        <f t="shared" si="0"/>
        <v>858936.03381868324</v>
      </c>
      <c r="AM5" s="609">
        <f t="shared" si="0"/>
        <v>882016.41690363048</v>
      </c>
      <c r="AN5" s="609">
        <f t="shared" si="0"/>
        <v>905472.69677124172</v>
      </c>
      <c r="AO5" s="609">
        <f t="shared" si="0"/>
        <v>963415.79767540016</v>
      </c>
      <c r="AP5" s="609">
        <f t="shared" si="0"/>
        <v>988645.7118011117</v>
      </c>
      <c r="AQ5" s="609">
        <f t="shared" si="0"/>
        <v>1014959.7503767727</v>
      </c>
      <c r="AR5" s="609">
        <f t="shared" si="0"/>
        <v>1081455.7187219015</v>
      </c>
      <c r="AS5" s="609">
        <f t="shared" si="0"/>
        <v>1104922.5716987054</v>
      </c>
      <c r="AT5" s="609">
        <f t="shared" si="0"/>
        <v>649342.69097973965</v>
      </c>
      <c r="AU5" s="609">
        <f t="shared" si="0"/>
        <v>667083.78147122625</v>
      </c>
    </row>
    <row r="6" spans="1:47" s="538" customFormat="1" ht="11.5" outlineLevel="2" x14ac:dyDescent="0.25">
      <c r="A6" s="581"/>
      <c r="B6" s="582"/>
      <c r="C6" s="538" t="s">
        <v>48</v>
      </c>
      <c r="D6" s="578">
        <v>0</v>
      </c>
      <c r="E6" s="609">
        <f>E46*E51</f>
        <v>28867.526334853254</v>
      </c>
      <c r="F6" s="609">
        <f t="shared" ref="F6:AU6" si="1">F46*F51</f>
        <v>160844.30188367909</v>
      </c>
      <c r="G6" s="609">
        <f t="shared" si="1"/>
        <v>140740.79314080658</v>
      </c>
      <c r="H6" s="609">
        <f t="shared" si="1"/>
        <v>146816.92156807831</v>
      </c>
      <c r="I6" s="609">
        <f t="shared" si="1"/>
        <v>147697.97340113166</v>
      </c>
      <c r="J6" s="609">
        <f t="shared" si="1"/>
        <v>148977.24934010266</v>
      </c>
      <c r="K6" s="609">
        <f t="shared" si="1"/>
        <v>155578.20802355628</v>
      </c>
      <c r="L6" s="609">
        <f t="shared" si="1"/>
        <v>156871.09062222985</v>
      </c>
      <c r="M6" s="609">
        <f t="shared" si="1"/>
        <v>158157.24872734773</v>
      </c>
      <c r="N6" s="609">
        <f t="shared" si="1"/>
        <v>165399.15592116749</v>
      </c>
      <c r="O6" s="609">
        <f t="shared" si="1"/>
        <v>166738.93245669545</v>
      </c>
      <c r="P6" s="609">
        <f t="shared" si="1"/>
        <v>168077.92655061907</v>
      </c>
      <c r="Q6" s="609">
        <f t="shared" si="1"/>
        <v>175970.08227860296</v>
      </c>
      <c r="R6" s="609">
        <f t="shared" si="1"/>
        <v>177326.93178887531</v>
      </c>
      <c r="S6" s="609">
        <f t="shared" si="1"/>
        <v>178690.63923345151</v>
      </c>
      <c r="T6" s="609">
        <f t="shared" si="1"/>
        <v>187378.36184102285</v>
      </c>
      <c r="U6" s="609">
        <f t="shared" si="1"/>
        <v>188777.94604127941</v>
      </c>
      <c r="V6" s="609">
        <f t="shared" si="1"/>
        <v>190164.25194215059</v>
      </c>
      <c r="W6" s="609">
        <f t="shared" si="1"/>
        <v>199674.36213149523</v>
      </c>
      <c r="X6" s="609">
        <f t="shared" si="1"/>
        <v>201117.41161419044</v>
      </c>
      <c r="Y6" s="609">
        <f t="shared" si="1"/>
        <v>202530.56333430531</v>
      </c>
      <c r="Z6" s="609">
        <f t="shared" si="1"/>
        <v>178918.58329271097</v>
      </c>
      <c r="AA6" s="609">
        <f t="shared" si="1"/>
        <v>180177.92650449116</v>
      </c>
      <c r="AB6" s="609">
        <f t="shared" si="1"/>
        <v>181462.2315897189</v>
      </c>
      <c r="AC6" s="609">
        <f t="shared" si="1"/>
        <v>189559.30252972487</v>
      </c>
      <c r="AD6" s="609">
        <f t="shared" si="1"/>
        <v>190833.71128942631</v>
      </c>
      <c r="AE6" s="609">
        <f t="shared" si="1"/>
        <v>192121.94673132797</v>
      </c>
      <c r="AF6" s="609">
        <f t="shared" si="1"/>
        <v>200955.87331227618</v>
      </c>
      <c r="AG6" s="609">
        <f t="shared" si="1"/>
        <v>202753.71120189372</v>
      </c>
      <c r="AH6" s="609">
        <f t="shared" si="1"/>
        <v>204055.78167975327</v>
      </c>
      <c r="AI6" s="609">
        <f t="shared" si="1"/>
        <v>213756.43157952599</v>
      </c>
      <c r="AJ6" s="609">
        <f t="shared" si="1"/>
        <v>183976.91187649482</v>
      </c>
      <c r="AK6" s="609">
        <f t="shared" si="1"/>
        <v>185140.51775432407</v>
      </c>
      <c r="AL6" s="609">
        <f t="shared" si="1"/>
        <v>193172.64993233807</v>
      </c>
      <c r="AM6" s="609">
        <f t="shared" si="1"/>
        <v>194378.33166396187</v>
      </c>
      <c r="AN6" s="609">
        <f t="shared" si="1"/>
        <v>195552.70403840733</v>
      </c>
      <c r="AO6" s="609">
        <f t="shared" si="1"/>
        <v>203865.66432952663</v>
      </c>
      <c r="AP6" s="609">
        <f t="shared" si="1"/>
        <v>205534.24008496795</v>
      </c>
      <c r="AQ6" s="609">
        <f t="shared" si="1"/>
        <v>206733.84987794844</v>
      </c>
      <c r="AR6" s="609">
        <f t="shared" si="1"/>
        <v>215846.36172140419</v>
      </c>
      <c r="AS6" s="609">
        <f t="shared" si="1"/>
        <v>216621.31138295284</v>
      </c>
      <c r="AT6" s="609">
        <f t="shared" si="1"/>
        <v>124718.65401027695</v>
      </c>
      <c r="AU6" s="609">
        <f t="shared" si="1"/>
        <v>125543.68397149556</v>
      </c>
    </row>
    <row r="7" spans="1:47" s="538" customFormat="1" ht="11.5" outlineLevel="2" x14ac:dyDescent="0.25">
      <c r="A7" s="581"/>
      <c r="B7" s="582"/>
      <c r="C7" s="538" t="s">
        <v>49</v>
      </c>
      <c r="D7" s="578">
        <v>0</v>
      </c>
      <c r="E7" s="609">
        <f>E47*E51</f>
        <v>4793.7063684137347</v>
      </c>
      <c r="F7" s="609">
        <f t="shared" ref="F7:AU7" si="2">F47*F51</f>
        <v>25441.346895373666</v>
      </c>
      <c r="G7" s="609">
        <f t="shared" si="2"/>
        <v>22135.371991091823</v>
      </c>
      <c r="H7" s="609">
        <f t="shared" si="2"/>
        <v>22960.920591819988</v>
      </c>
      <c r="I7" s="609">
        <f t="shared" si="2"/>
        <v>23033.825605794464</v>
      </c>
      <c r="J7" s="609">
        <f t="shared" si="2"/>
        <v>23103.536369623445</v>
      </c>
      <c r="K7" s="609">
        <f t="shared" si="2"/>
        <v>23993.179338653932</v>
      </c>
      <c r="L7" s="609">
        <f t="shared" si="2"/>
        <v>24058.906338523677</v>
      </c>
      <c r="M7" s="609">
        <f t="shared" si="2"/>
        <v>24122.88541237123</v>
      </c>
      <c r="N7" s="609">
        <f t="shared" si="2"/>
        <v>25089.60012001939</v>
      </c>
      <c r="O7" s="609">
        <f t="shared" si="2"/>
        <v>25155.371414249661</v>
      </c>
      <c r="P7" s="609">
        <f t="shared" si="2"/>
        <v>25220.314261067921</v>
      </c>
      <c r="Q7" s="609">
        <f t="shared" si="2"/>
        <v>26262.582716549357</v>
      </c>
      <c r="R7" s="609">
        <f t="shared" si="2"/>
        <v>26323.560645299094</v>
      </c>
      <c r="S7" s="609">
        <f t="shared" si="2"/>
        <v>26384.902493870126</v>
      </c>
      <c r="T7" s="609">
        <f t="shared" si="2"/>
        <v>27521.314548078706</v>
      </c>
      <c r="U7" s="609">
        <f t="shared" si="2"/>
        <v>27580.948412293525</v>
      </c>
      <c r="V7" s="609">
        <f t="shared" si="2"/>
        <v>27638.028001135677</v>
      </c>
      <c r="W7" s="609">
        <f t="shared" si="2"/>
        <v>28869.058290768004</v>
      </c>
      <c r="X7" s="609">
        <f t="shared" si="2"/>
        <v>28927.033755487613</v>
      </c>
      <c r="Y7" s="609">
        <f t="shared" si="2"/>
        <v>28980.133458967215</v>
      </c>
      <c r="Z7" s="609">
        <f t="shared" si="2"/>
        <v>25405.06025840365</v>
      </c>
      <c r="AA7" s="609">
        <f t="shared" si="2"/>
        <v>25453.67944241628</v>
      </c>
      <c r="AB7" s="609">
        <f t="shared" si="2"/>
        <v>25505.314781365396</v>
      </c>
      <c r="AC7" s="609">
        <f t="shared" si="2"/>
        <v>26509.170069679982</v>
      </c>
      <c r="AD7" s="609">
        <f t="shared" si="2"/>
        <v>26553.620053787119</v>
      </c>
      <c r="AE7" s="609">
        <f t="shared" si="2"/>
        <v>26599.540969210026</v>
      </c>
      <c r="AF7" s="609">
        <f t="shared" si="2"/>
        <v>27684.532473148956</v>
      </c>
      <c r="AG7" s="609">
        <f t="shared" si="2"/>
        <v>27725.814595357791</v>
      </c>
      <c r="AH7" s="609">
        <f t="shared" si="2"/>
        <v>27767.084215915791</v>
      </c>
      <c r="AI7" s="609">
        <f t="shared" si="2"/>
        <v>28945.221022161189</v>
      </c>
      <c r="AJ7" s="609">
        <f t="shared" si="2"/>
        <v>24791.77631468312</v>
      </c>
      <c r="AK7" s="609">
        <f t="shared" si="2"/>
        <v>24828.053289013191</v>
      </c>
      <c r="AL7" s="609">
        <f t="shared" si="2"/>
        <v>25718.824715515733</v>
      </c>
      <c r="AM7" s="609">
        <f t="shared" si="2"/>
        <v>25755.818938344361</v>
      </c>
      <c r="AN7" s="609">
        <f t="shared" si="2"/>
        <v>25788.332779471857</v>
      </c>
      <c r="AO7" s="609">
        <f t="shared" si="2"/>
        <v>26757.482830574372</v>
      </c>
      <c r="AP7" s="609">
        <f t="shared" si="2"/>
        <v>26786.509092906326</v>
      </c>
      <c r="AQ7" s="609">
        <f t="shared" si="2"/>
        <v>26816.948585256177</v>
      </c>
      <c r="AR7" s="609">
        <f t="shared" si="2"/>
        <v>27868.77075390282</v>
      </c>
      <c r="AS7" s="609">
        <f t="shared" si="2"/>
        <v>27775.048140019037</v>
      </c>
      <c r="AT7" s="609">
        <f t="shared" si="2"/>
        <v>15917.823846619371</v>
      </c>
      <c r="AU7" s="609">
        <f t="shared" si="2"/>
        <v>15949.789934217175</v>
      </c>
    </row>
    <row r="8" spans="1:47" s="538" customFormat="1" ht="11.5" outlineLevel="2" x14ac:dyDescent="0.25">
      <c r="A8" s="581"/>
      <c r="B8" s="582"/>
      <c r="C8" s="538" t="s">
        <v>53</v>
      </c>
      <c r="D8" s="578">
        <v>0</v>
      </c>
      <c r="E8" s="609">
        <f>E48*E51</f>
        <v>0</v>
      </c>
      <c r="F8" s="609">
        <f t="shared" ref="F8:AU8" si="3">F48*F51</f>
        <v>59954.801985996863</v>
      </c>
      <c r="G8" s="609">
        <f t="shared" si="3"/>
        <v>215176.40679712515</v>
      </c>
      <c r="H8" s="609">
        <f t="shared" si="3"/>
        <v>230760.91648140104</v>
      </c>
      <c r="I8" s="609">
        <f t="shared" si="3"/>
        <v>239875.28918610761</v>
      </c>
      <c r="J8" s="609">
        <f t="shared" si="3"/>
        <v>249008.29258204272</v>
      </c>
      <c r="K8" s="609">
        <f t="shared" si="3"/>
        <v>267743.3127111441</v>
      </c>
      <c r="L8" s="609">
        <f t="shared" si="3"/>
        <v>278065.2257438309</v>
      </c>
      <c r="M8" s="609">
        <f t="shared" si="3"/>
        <v>288836.6279790441</v>
      </c>
      <c r="N8" s="609">
        <f t="shared" si="3"/>
        <v>310845.61571405694</v>
      </c>
      <c r="O8" s="609">
        <f t="shared" si="3"/>
        <v>322557.70367929799</v>
      </c>
      <c r="P8" s="609">
        <f t="shared" si="3"/>
        <v>334752.80780262884</v>
      </c>
      <c r="Q8" s="609">
        <f t="shared" si="3"/>
        <v>361329.0678174771</v>
      </c>
      <c r="R8" s="609">
        <f t="shared" si="3"/>
        <v>374939.690066832</v>
      </c>
      <c r="S8" s="609">
        <f t="shared" si="3"/>
        <v>389072.03686583322</v>
      </c>
      <c r="T8" s="609">
        <f t="shared" si="3"/>
        <v>420136.14611973503</v>
      </c>
      <c r="U8" s="609">
        <f t="shared" si="3"/>
        <v>435861.99187252362</v>
      </c>
      <c r="V8" s="609">
        <f t="shared" si="3"/>
        <v>452089.07453567674</v>
      </c>
      <c r="W8" s="609">
        <f t="shared" si="3"/>
        <v>489233.78126680438</v>
      </c>
      <c r="X8" s="609">
        <f t="shared" si="3"/>
        <v>507258.55453763413</v>
      </c>
      <c r="Y8" s="609">
        <f t="shared" si="3"/>
        <v>526267.5945599227</v>
      </c>
      <c r="Z8" s="609">
        <f t="shared" si="3"/>
        <v>477633.66824167006</v>
      </c>
      <c r="AA8" s="609">
        <f t="shared" si="3"/>
        <v>495748.99970108713</v>
      </c>
      <c r="AB8" s="609">
        <f t="shared" si="3"/>
        <v>513990.82601352589</v>
      </c>
      <c r="AC8" s="609">
        <f t="shared" si="3"/>
        <v>553054.05792430392</v>
      </c>
      <c r="AD8" s="609">
        <f t="shared" si="3"/>
        <v>573766.45684849808</v>
      </c>
      <c r="AE8" s="609">
        <f t="shared" si="3"/>
        <v>595038.88776448043</v>
      </c>
      <c r="AF8" s="609">
        <f t="shared" si="3"/>
        <v>641377.27169667394</v>
      </c>
      <c r="AG8" s="609">
        <f t="shared" si="3"/>
        <v>664913.83547608624</v>
      </c>
      <c r="AH8" s="609">
        <f t="shared" si="3"/>
        <v>689479.6187384763</v>
      </c>
      <c r="AI8" s="609">
        <f t="shared" si="3"/>
        <v>744313.22566425626</v>
      </c>
      <c r="AJ8" s="609">
        <f t="shared" si="3"/>
        <v>659847.87958751689</v>
      </c>
      <c r="AK8" s="609">
        <f t="shared" si="3"/>
        <v>684475.35145789303</v>
      </c>
      <c r="AL8" s="609">
        <f t="shared" si="3"/>
        <v>733989.22190846677</v>
      </c>
      <c r="AM8" s="609">
        <f t="shared" si="3"/>
        <v>760930.00867092167</v>
      </c>
      <c r="AN8" s="609">
        <f t="shared" si="3"/>
        <v>789148.85370031802</v>
      </c>
      <c r="AO8" s="609">
        <f t="shared" si="3"/>
        <v>847552.11461149948</v>
      </c>
      <c r="AP8" s="609">
        <f t="shared" si="3"/>
        <v>878641.47062887531</v>
      </c>
      <c r="AQ8" s="609">
        <f t="shared" si="3"/>
        <v>910773.52057906066</v>
      </c>
      <c r="AR8" s="609">
        <f t="shared" si="3"/>
        <v>979816.67244296183</v>
      </c>
      <c r="AS8" s="609">
        <f t="shared" si="3"/>
        <v>1011173.8684007478</v>
      </c>
      <c r="AT8" s="609">
        <f t="shared" si="3"/>
        <v>599912.51296082581</v>
      </c>
      <c r="AU8" s="609">
        <f t="shared" si="3"/>
        <v>622398.18668972596</v>
      </c>
    </row>
    <row r="9" spans="1:47" s="555" customFormat="1" ht="11.5" outlineLevel="2" x14ac:dyDescent="0.25">
      <c r="A9" s="583"/>
      <c r="B9" s="584"/>
      <c r="C9" s="585" t="s">
        <v>42</v>
      </c>
      <c r="D9" s="586">
        <f>SUM(D5:D8)</f>
        <v>0</v>
      </c>
      <c r="E9" s="586">
        <f>SUM(E5:E8)</f>
        <v>100054.68524770527</v>
      </c>
      <c r="F9" s="586">
        <f t="shared" ref="F9:AU9" si="4">SUM(F5:F8)</f>
        <v>628382.70645752968</v>
      </c>
      <c r="G9" s="586">
        <f t="shared" si="4"/>
        <v>718814.15807551693</v>
      </c>
      <c r="H9" s="586">
        <f t="shared" si="4"/>
        <v>763013.48316879966</v>
      </c>
      <c r="I9" s="586">
        <f t="shared" si="4"/>
        <v>783475.67415094678</v>
      </c>
      <c r="J9" s="586">
        <f t="shared" si="4"/>
        <v>804567.74853996467</v>
      </c>
      <c r="K9" s="586">
        <f t="shared" si="4"/>
        <v>855625.44011829945</v>
      </c>
      <c r="L9" s="586">
        <f t="shared" si="4"/>
        <v>878737.01773965789</v>
      </c>
      <c r="M9" s="586">
        <f t="shared" si="4"/>
        <v>902534.71281333652</v>
      </c>
      <c r="N9" s="586">
        <f t="shared" si="4"/>
        <v>961481.98544752831</v>
      </c>
      <c r="O9" s="586">
        <f t="shared" si="4"/>
        <v>987506.05092628323</v>
      </c>
      <c r="P9" s="586">
        <f t="shared" si="4"/>
        <v>1014286.7471815533</v>
      </c>
      <c r="Q9" s="586">
        <f t="shared" si="4"/>
        <v>1082586.0533485387</v>
      </c>
      <c r="R9" s="586">
        <f t="shared" si="4"/>
        <v>1112023.3950304601</v>
      </c>
      <c r="S9" s="586">
        <f t="shared" si="4"/>
        <v>1142299.0412565032</v>
      </c>
      <c r="T9" s="586">
        <f t="shared" si="4"/>
        <v>1221354.0239161495</v>
      </c>
      <c r="U9" s="586">
        <f t="shared" si="4"/>
        <v>1254650.1744924714</v>
      </c>
      <c r="V9" s="586">
        <f t="shared" si="4"/>
        <v>1288942.8526165755</v>
      </c>
      <c r="W9" s="586">
        <f t="shared" si="4"/>
        <v>1380725.5717406301</v>
      </c>
      <c r="X9" s="586">
        <f t="shared" si="4"/>
        <v>1418466.7131464276</v>
      </c>
      <c r="Y9" s="586">
        <f t="shared" si="4"/>
        <v>1457371.6635910997</v>
      </c>
      <c r="Z9" s="586">
        <f t="shared" si="4"/>
        <v>1310770.2031863779</v>
      </c>
      <c r="AA9" s="586">
        <f t="shared" si="4"/>
        <v>1347182.121460143</v>
      </c>
      <c r="AB9" s="586">
        <f t="shared" si="4"/>
        <v>1384585.0305810121</v>
      </c>
      <c r="AC9" s="586">
        <f t="shared" si="4"/>
        <v>1476275.4940787836</v>
      </c>
      <c r="AD9" s="586">
        <f t="shared" si="4"/>
        <v>1517412.853775912</v>
      </c>
      <c r="AE9" s="586">
        <f t="shared" si="4"/>
        <v>1559711.9347930697</v>
      </c>
      <c r="AF9" s="586">
        <f t="shared" si="4"/>
        <v>1666090.0066005548</v>
      </c>
      <c r="AG9" s="586">
        <f t="shared" si="4"/>
        <v>1712628.4982746728</v>
      </c>
      <c r="AH9" s="586">
        <f t="shared" si="4"/>
        <v>1760519.2387750018</v>
      </c>
      <c r="AI9" s="586">
        <f t="shared" si="4"/>
        <v>1884013.1549034603</v>
      </c>
      <c r="AJ9" s="586">
        <f t="shared" si="4"/>
        <v>1656346.1499068844</v>
      </c>
      <c r="AK9" s="586">
        <f t="shared" si="4"/>
        <v>1703252.0059335614</v>
      </c>
      <c r="AL9" s="586">
        <f t="shared" si="4"/>
        <v>1811816.730375004</v>
      </c>
      <c r="AM9" s="586">
        <f t="shared" si="4"/>
        <v>1863080.5761768583</v>
      </c>
      <c r="AN9" s="586">
        <f t="shared" si="4"/>
        <v>1915962.587289439</v>
      </c>
      <c r="AO9" s="586">
        <f t="shared" si="4"/>
        <v>2041591.0594470005</v>
      </c>
      <c r="AP9" s="586">
        <f t="shared" si="4"/>
        <v>2099607.9316078611</v>
      </c>
      <c r="AQ9" s="586">
        <f t="shared" si="4"/>
        <v>2159284.069419038</v>
      </c>
      <c r="AR9" s="586">
        <f t="shared" si="4"/>
        <v>2304987.5236401702</v>
      </c>
      <c r="AS9" s="586">
        <f t="shared" si="4"/>
        <v>2360492.7996224249</v>
      </c>
      <c r="AT9" s="586">
        <f t="shared" si="4"/>
        <v>1389891.6817974618</v>
      </c>
      <c r="AU9" s="586">
        <f t="shared" si="4"/>
        <v>1430975.442066665</v>
      </c>
    </row>
    <row r="10" spans="1:47" s="555" customFormat="1" ht="11.5" outlineLevel="2" x14ac:dyDescent="0.25">
      <c r="A10" s="579" t="s">
        <v>7</v>
      </c>
      <c r="B10" s="580" t="s">
        <v>507</v>
      </c>
      <c r="C10" s="585"/>
      <c r="D10" s="586"/>
      <c r="E10" s="586"/>
      <c r="F10" s="586"/>
      <c r="G10" s="586"/>
      <c r="H10" s="586"/>
      <c r="I10" s="586"/>
      <c r="J10" s="586"/>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row>
    <row r="11" spans="1:47" s="538" customFormat="1" ht="11.5" outlineLevel="2" x14ac:dyDescent="0.25">
      <c r="A11" s="581"/>
      <c r="B11" s="582"/>
      <c r="C11" s="538" t="s">
        <v>512</v>
      </c>
      <c r="D11" s="578">
        <f>0</f>
        <v>0</v>
      </c>
      <c r="E11" s="609">
        <f>Forecast_Landfill!E33</f>
        <v>14495.848612554526</v>
      </c>
      <c r="F11" s="609">
        <f>Forecast_Landfill!F33</f>
        <v>94795.123468314225</v>
      </c>
      <c r="G11" s="609">
        <f>Forecast_Landfill!G33</f>
        <v>115403.16130515753</v>
      </c>
      <c r="H11" s="609">
        <f>Forecast_Landfill!H33</f>
        <v>118238.09023374674</v>
      </c>
      <c r="I11" s="609">
        <f>Forecast_Landfill!I33</f>
        <v>121151.8883767198</v>
      </c>
      <c r="J11" s="609">
        <f>Forecast_Landfill!J33</f>
        <v>124146.8540278181</v>
      </c>
      <c r="K11" s="609">
        <f>Forecast_Landfill!K33</f>
        <v>127225.35462010535</v>
      </c>
      <c r="L11" s="609">
        <f>Forecast_Landfill!L33</f>
        <v>130389.82886578317</v>
      </c>
      <c r="M11" s="609">
        <f>Forecast_Landfill!M33</f>
        <v>133642.78896397876</v>
      </c>
      <c r="N11" s="609">
        <f>Forecast_Landfill!N33</f>
        <v>136986.82287871424</v>
      </c>
      <c r="O11" s="609">
        <f>Forecast_Landfill!O33</f>
        <v>140424.5966893404</v>
      </c>
      <c r="P11" s="609">
        <f>Forecast_Landfill!P33</f>
        <v>143958.85701579292</v>
      </c>
      <c r="Q11" s="609">
        <f>Forecast_Landfill!Q33</f>
        <v>147592.43352110841</v>
      </c>
      <c r="R11" s="609">
        <f>Forecast_Landfill!R33</f>
        <v>151328.24149371716</v>
      </c>
      <c r="S11" s="609">
        <f>Forecast_Landfill!S33</f>
        <v>155169.28451211439</v>
      </c>
      <c r="T11" s="609">
        <f>Forecast_Landfill!T33</f>
        <v>159118.65719459724</v>
      </c>
      <c r="U11" s="609">
        <f>Forecast_Landfill!U33</f>
        <v>163179.54803684467</v>
      </c>
      <c r="V11" s="609">
        <f>Forecast_Landfill!V33</f>
        <v>167355.24234020966</v>
      </c>
      <c r="W11" s="609">
        <f>Forecast_Landfill!W33</f>
        <v>171649.12523368871</v>
      </c>
      <c r="X11" s="609">
        <f>Forecast_Landfill!X33</f>
        <v>176064.68479263192</v>
      </c>
      <c r="Y11" s="609">
        <f>Forecast_Landfill!Y33</f>
        <v>180605.51525735972</v>
      </c>
      <c r="Z11" s="609">
        <f>Forecast_Landfill!Z33</f>
        <v>185275.32035495708</v>
      </c>
      <c r="AA11" s="609">
        <f>Forecast_Landfill!AA33</f>
        <v>190077.91672762576</v>
      </c>
      <c r="AB11" s="609">
        <f>Forecast_Landfill!AB33</f>
        <v>195017.23747108772</v>
      </c>
      <c r="AC11" s="609">
        <f>Forecast_Landfill!AC33</f>
        <v>200097.33578664856</v>
      </c>
      <c r="AD11" s="609">
        <f>Forecast_Landfill!AD33</f>
        <v>205322.38875065238</v>
      </c>
      <c r="AE11" s="609">
        <f>Forecast_Landfill!AE33</f>
        <v>210696.70120518198</v>
      </c>
      <c r="AF11" s="609">
        <f>Forecast_Landfill!AF33</f>
        <v>216224.70977398817</v>
      </c>
      <c r="AG11" s="609">
        <f>Forecast_Landfill!AG33</f>
        <v>221910.98700776548</v>
      </c>
      <c r="AH11" s="609">
        <f>Forecast_Landfill!AH33</f>
        <v>227760.24566302841</v>
      </c>
      <c r="AI11" s="609">
        <f>Forecast_Landfill!AI33</f>
        <v>233777.34311898556</v>
      </c>
      <c r="AJ11" s="609">
        <f>Forecast_Landfill!AJ33</f>
        <v>239967.28593695568</v>
      </c>
      <c r="AK11" s="609">
        <f>Forecast_Landfill!AK33</f>
        <v>246335.23456702227</v>
      </c>
      <c r="AL11" s="609">
        <f>Forecast_Landfill!AL33</f>
        <v>252886.50820678088</v>
      </c>
      <c r="AM11" s="609">
        <f>Forecast_Landfill!AM33</f>
        <v>259626.58981719491</v>
      </c>
      <c r="AN11" s="609">
        <f>Forecast_Landfill!AN33</f>
        <v>266561.13130074646</v>
      </c>
      <c r="AO11" s="609">
        <f>Forecast_Landfill!AO33</f>
        <v>273695.95884723938</v>
      </c>
      <c r="AP11" s="609">
        <f>Forecast_Landfill!AP33</f>
        <v>281037.07845279505</v>
      </c>
      <c r="AQ11" s="609">
        <f>Forecast_Landfill!AQ33</f>
        <v>288590.68161776493</v>
      </c>
      <c r="AR11" s="609">
        <f>Forecast_Landfill!AR33</f>
        <v>296363.15122947749</v>
      </c>
      <c r="AS11" s="609">
        <f>Forecast_Landfill!AS33</f>
        <v>304361.06763593637</v>
      </c>
      <c r="AT11" s="609">
        <f>Forecast_Landfill!AT33</f>
        <v>312591.2149167906</v>
      </c>
      <c r="AU11" s="609">
        <f>Forecast_Landfill!AU33</f>
        <v>321060.58735811326</v>
      </c>
    </row>
    <row r="12" spans="1:47" s="555" customFormat="1" ht="11.5" outlineLevel="2" x14ac:dyDescent="0.25">
      <c r="A12" s="583"/>
      <c r="B12" s="584"/>
      <c r="C12" s="585" t="s">
        <v>43</v>
      </c>
      <c r="D12" s="586">
        <f>SUM(D11)</f>
        <v>0</v>
      </c>
      <c r="E12" s="586">
        <f t="shared" ref="E12:AU12" si="5">SUM(E11)</f>
        <v>14495.848612554526</v>
      </c>
      <c r="F12" s="586">
        <f t="shared" si="5"/>
        <v>94795.123468314225</v>
      </c>
      <c r="G12" s="586">
        <f t="shared" si="5"/>
        <v>115403.16130515753</v>
      </c>
      <c r="H12" s="586">
        <f t="shared" si="5"/>
        <v>118238.09023374674</v>
      </c>
      <c r="I12" s="586">
        <f t="shared" si="5"/>
        <v>121151.8883767198</v>
      </c>
      <c r="J12" s="586">
        <f t="shared" si="5"/>
        <v>124146.8540278181</v>
      </c>
      <c r="K12" s="586">
        <f t="shared" si="5"/>
        <v>127225.35462010535</v>
      </c>
      <c r="L12" s="586">
        <f t="shared" si="5"/>
        <v>130389.82886578317</v>
      </c>
      <c r="M12" s="586">
        <f t="shared" si="5"/>
        <v>133642.78896397876</v>
      </c>
      <c r="N12" s="586">
        <f t="shared" si="5"/>
        <v>136986.82287871424</v>
      </c>
      <c r="O12" s="586">
        <f t="shared" si="5"/>
        <v>140424.5966893404</v>
      </c>
      <c r="P12" s="586">
        <f t="shared" si="5"/>
        <v>143958.85701579292</v>
      </c>
      <c r="Q12" s="586">
        <f t="shared" si="5"/>
        <v>147592.43352110841</v>
      </c>
      <c r="R12" s="586">
        <f t="shared" si="5"/>
        <v>151328.24149371716</v>
      </c>
      <c r="S12" s="586">
        <f t="shared" si="5"/>
        <v>155169.28451211439</v>
      </c>
      <c r="T12" s="586">
        <f t="shared" si="5"/>
        <v>159118.65719459724</v>
      </c>
      <c r="U12" s="586">
        <f t="shared" si="5"/>
        <v>163179.54803684467</v>
      </c>
      <c r="V12" s="586">
        <f t="shared" si="5"/>
        <v>167355.24234020966</v>
      </c>
      <c r="W12" s="586">
        <f t="shared" si="5"/>
        <v>171649.12523368871</v>
      </c>
      <c r="X12" s="586">
        <f t="shared" si="5"/>
        <v>176064.68479263192</v>
      </c>
      <c r="Y12" s="586">
        <f t="shared" si="5"/>
        <v>180605.51525735972</v>
      </c>
      <c r="Z12" s="586">
        <f t="shared" si="5"/>
        <v>185275.32035495708</v>
      </c>
      <c r="AA12" s="586">
        <f t="shared" si="5"/>
        <v>190077.91672762576</v>
      </c>
      <c r="AB12" s="586">
        <f t="shared" si="5"/>
        <v>195017.23747108772</v>
      </c>
      <c r="AC12" s="586">
        <f t="shared" si="5"/>
        <v>200097.33578664856</v>
      </c>
      <c r="AD12" s="586">
        <f t="shared" si="5"/>
        <v>205322.38875065238</v>
      </c>
      <c r="AE12" s="586">
        <f t="shared" si="5"/>
        <v>210696.70120518198</v>
      </c>
      <c r="AF12" s="586">
        <f t="shared" si="5"/>
        <v>216224.70977398817</v>
      </c>
      <c r="AG12" s="586">
        <f t="shared" si="5"/>
        <v>221910.98700776548</v>
      </c>
      <c r="AH12" s="586">
        <f t="shared" si="5"/>
        <v>227760.24566302841</v>
      </c>
      <c r="AI12" s="586">
        <f t="shared" si="5"/>
        <v>233777.34311898556</v>
      </c>
      <c r="AJ12" s="586">
        <f t="shared" si="5"/>
        <v>239967.28593695568</v>
      </c>
      <c r="AK12" s="586">
        <f t="shared" si="5"/>
        <v>246335.23456702227</v>
      </c>
      <c r="AL12" s="586">
        <f t="shared" si="5"/>
        <v>252886.50820678088</v>
      </c>
      <c r="AM12" s="586">
        <f t="shared" si="5"/>
        <v>259626.58981719491</v>
      </c>
      <c r="AN12" s="586">
        <f t="shared" si="5"/>
        <v>266561.13130074646</v>
      </c>
      <c r="AO12" s="586">
        <f t="shared" si="5"/>
        <v>273695.95884723938</v>
      </c>
      <c r="AP12" s="586">
        <f t="shared" si="5"/>
        <v>281037.07845279505</v>
      </c>
      <c r="AQ12" s="586">
        <f t="shared" si="5"/>
        <v>288590.68161776493</v>
      </c>
      <c r="AR12" s="586">
        <f t="shared" si="5"/>
        <v>296363.15122947749</v>
      </c>
      <c r="AS12" s="586">
        <f t="shared" si="5"/>
        <v>304361.06763593637</v>
      </c>
      <c r="AT12" s="586">
        <f t="shared" si="5"/>
        <v>312591.2149167906</v>
      </c>
      <c r="AU12" s="586">
        <f t="shared" si="5"/>
        <v>321060.58735811326</v>
      </c>
    </row>
    <row r="13" spans="1:47" s="11" customFormat="1" ht="13" outlineLevel="1" x14ac:dyDescent="0.3">
      <c r="A13" s="23"/>
      <c r="B13" s="24"/>
      <c r="C13" s="24" t="s">
        <v>4</v>
      </c>
      <c r="D13" s="25">
        <f>SUM(D9)</f>
        <v>0</v>
      </c>
      <c r="E13" s="25">
        <f>SUM(E9,E12)</f>
        <v>114550.53386025981</v>
      </c>
      <c r="F13" s="25">
        <f t="shared" ref="F13:AU13" si="6">SUM(F9,F12)</f>
        <v>723177.82992584386</v>
      </c>
      <c r="G13" s="25">
        <f t="shared" si="6"/>
        <v>834217.31938067451</v>
      </c>
      <c r="H13" s="25">
        <f t="shared" si="6"/>
        <v>881251.57340254635</v>
      </c>
      <c r="I13" s="25">
        <f t="shared" si="6"/>
        <v>904627.56252766657</v>
      </c>
      <c r="J13" s="25">
        <f t="shared" si="6"/>
        <v>928714.60256778274</v>
      </c>
      <c r="K13" s="25">
        <f t="shared" si="6"/>
        <v>982850.7947384048</v>
      </c>
      <c r="L13" s="25">
        <f t="shared" si="6"/>
        <v>1009126.8466054411</v>
      </c>
      <c r="M13" s="25">
        <f t="shared" si="6"/>
        <v>1036177.5017773153</v>
      </c>
      <c r="N13" s="25">
        <f t="shared" si="6"/>
        <v>1098468.8083262425</v>
      </c>
      <c r="O13" s="25">
        <f t="shared" si="6"/>
        <v>1127930.6476156237</v>
      </c>
      <c r="P13" s="25">
        <f t="shared" si="6"/>
        <v>1158245.6041973461</v>
      </c>
      <c r="Q13" s="25">
        <f t="shared" si="6"/>
        <v>1230178.4868696472</v>
      </c>
      <c r="R13" s="25">
        <f t="shared" si="6"/>
        <v>1263351.6365241772</v>
      </c>
      <c r="S13" s="25">
        <f t="shared" si="6"/>
        <v>1297468.3257686177</v>
      </c>
      <c r="T13" s="25">
        <f t="shared" si="6"/>
        <v>1380472.6811107467</v>
      </c>
      <c r="U13" s="25">
        <f t="shared" si="6"/>
        <v>1417829.7225293161</v>
      </c>
      <c r="V13" s="25">
        <f t="shared" si="6"/>
        <v>1456298.0949567852</v>
      </c>
      <c r="W13" s="25">
        <f t="shared" si="6"/>
        <v>1552374.6969743187</v>
      </c>
      <c r="X13" s="25">
        <f t="shared" si="6"/>
        <v>1594531.3979390597</v>
      </c>
      <c r="Y13" s="25">
        <f t="shared" si="6"/>
        <v>1637977.1788484594</v>
      </c>
      <c r="Z13" s="25">
        <f t="shared" si="6"/>
        <v>1496045.523541335</v>
      </c>
      <c r="AA13" s="25">
        <f t="shared" si="6"/>
        <v>1537260.0381877688</v>
      </c>
      <c r="AB13" s="25">
        <f t="shared" si="6"/>
        <v>1579602.2680520997</v>
      </c>
      <c r="AC13" s="25">
        <f t="shared" si="6"/>
        <v>1676372.8298654321</v>
      </c>
      <c r="AD13" s="25">
        <f t="shared" si="6"/>
        <v>1722735.2425265643</v>
      </c>
      <c r="AE13" s="25">
        <f t="shared" si="6"/>
        <v>1770408.6359982516</v>
      </c>
      <c r="AF13" s="25">
        <f t="shared" si="6"/>
        <v>1882314.716374543</v>
      </c>
      <c r="AG13" s="25">
        <f t="shared" si="6"/>
        <v>1934539.4852824383</v>
      </c>
      <c r="AH13" s="25">
        <f t="shared" si="6"/>
        <v>1988279.4844380303</v>
      </c>
      <c r="AI13" s="25">
        <f t="shared" si="6"/>
        <v>2117790.4980224459</v>
      </c>
      <c r="AJ13" s="25">
        <f t="shared" si="6"/>
        <v>1896313.43584384</v>
      </c>
      <c r="AK13" s="25">
        <f t="shared" si="6"/>
        <v>1949587.2405005835</v>
      </c>
      <c r="AL13" s="25">
        <f t="shared" si="6"/>
        <v>2064703.238581785</v>
      </c>
      <c r="AM13" s="25">
        <f t="shared" si="6"/>
        <v>2122707.1659940532</v>
      </c>
      <c r="AN13" s="25">
        <f t="shared" si="6"/>
        <v>2182523.7185901855</v>
      </c>
      <c r="AO13" s="25">
        <f t="shared" si="6"/>
        <v>2315287.0182942399</v>
      </c>
      <c r="AP13" s="25">
        <f t="shared" si="6"/>
        <v>2380645.0100606559</v>
      </c>
      <c r="AQ13" s="25">
        <f t="shared" si="6"/>
        <v>2447874.7510368028</v>
      </c>
      <c r="AR13" s="25">
        <f t="shared" si="6"/>
        <v>2601350.6748696477</v>
      </c>
      <c r="AS13" s="25">
        <f t="shared" si="6"/>
        <v>2664853.8672583611</v>
      </c>
      <c r="AT13" s="25">
        <f t="shared" si="6"/>
        <v>1702482.8967142524</v>
      </c>
      <c r="AU13" s="25">
        <f t="shared" si="6"/>
        <v>1752036.0294247782</v>
      </c>
    </row>
    <row r="14" spans="1:47" s="538" customFormat="1" ht="11.5" outlineLevel="2" x14ac:dyDescent="0.25">
      <c r="A14" s="577" t="s">
        <v>2</v>
      </c>
      <c r="C14" s="580"/>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row>
    <row r="15" spans="1:47" s="538" customFormat="1" ht="11.5" outlineLevel="2" x14ac:dyDescent="0.25">
      <c r="A15" s="579" t="s">
        <v>8</v>
      </c>
      <c r="B15" s="580" t="s">
        <v>28</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row>
    <row r="16" spans="1:47" s="538" customFormat="1" ht="11.5" outlineLevel="2" x14ac:dyDescent="0.25">
      <c r="A16" s="581"/>
      <c r="B16" s="582"/>
      <c r="C16" s="538" t="s">
        <v>30</v>
      </c>
      <c r="D16" s="578">
        <v>0</v>
      </c>
      <c r="E16" s="578">
        <f>F16*(2/12)</f>
        <v>53114.383999999998</v>
      </c>
      <c r="F16" s="588">
        <f>'Salary - Hauling'!E3</f>
        <v>318686.304</v>
      </c>
      <c r="G16" s="578">
        <f t="shared" ref="G16:AU16" si="7">F16*(1+Inf)</f>
        <v>328246.89312000002</v>
      </c>
      <c r="H16" s="578">
        <f t="shared" si="7"/>
        <v>338094.29991360003</v>
      </c>
      <c r="I16" s="578">
        <f t="shared" si="7"/>
        <v>348237.12891100801</v>
      </c>
      <c r="J16" s="578">
        <f t="shared" si="7"/>
        <v>358684.24277833826</v>
      </c>
      <c r="K16" s="578">
        <f t="shared" si="7"/>
        <v>369444.77006168844</v>
      </c>
      <c r="L16" s="578">
        <f t="shared" si="7"/>
        <v>380528.11316353909</v>
      </c>
      <c r="M16" s="578">
        <f t="shared" si="7"/>
        <v>391943.95655844529</v>
      </c>
      <c r="N16" s="578">
        <f t="shared" si="7"/>
        <v>403702.27525519865</v>
      </c>
      <c r="O16" s="578">
        <f t="shared" si="7"/>
        <v>415813.3435128546</v>
      </c>
      <c r="P16" s="578">
        <f t="shared" si="7"/>
        <v>428287.74381824024</v>
      </c>
      <c r="Q16" s="578">
        <f t="shared" si="7"/>
        <v>441136.37613278744</v>
      </c>
      <c r="R16" s="578">
        <f t="shared" si="7"/>
        <v>454370.46741677105</v>
      </c>
      <c r="S16" s="578">
        <f t="shared" si="7"/>
        <v>468001.58143927419</v>
      </c>
      <c r="T16" s="578">
        <f t="shared" si="7"/>
        <v>482041.62888245244</v>
      </c>
      <c r="U16" s="578">
        <f t="shared" si="7"/>
        <v>496502.877748926</v>
      </c>
      <c r="V16" s="578">
        <f t="shared" si="7"/>
        <v>511397.96408139379</v>
      </c>
      <c r="W16" s="578">
        <f t="shared" si="7"/>
        <v>526739.90300383558</v>
      </c>
      <c r="X16" s="578">
        <f t="shared" si="7"/>
        <v>542542.10009395063</v>
      </c>
      <c r="Y16" s="578">
        <f t="shared" si="7"/>
        <v>558818.3630967692</v>
      </c>
      <c r="Z16" s="578">
        <f t="shared" si="7"/>
        <v>575582.91398967232</v>
      </c>
      <c r="AA16" s="578">
        <f t="shared" si="7"/>
        <v>592850.40140936256</v>
      </c>
      <c r="AB16" s="578">
        <f t="shared" si="7"/>
        <v>610635.91345164343</v>
      </c>
      <c r="AC16" s="578">
        <f t="shared" si="7"/>
        <v>628954.99085519277</v>
      </c>
      <c r="AD16" s="578">
        <f t="shared" si="7"/>
        <v>647823.64058084856</v>
      </c>
      <c r="AE16" s="578">
        <f t="shared" si="7"/>
        <v>667258.34979827399</v>
      </c>
      <c r="AF16" s="578">
        <f t="shared" si="7"/>
        <v>687276.10029222223</v>
      </c>
      <c r="AG16" s="578">
        <f t="shared" si="7"/>
        <v>707894.38330098893</v>
      </c>
      <c r="AH16" s="578">
        <f t="shared" si="7"/>
        <v>729131.21480001858</v>
      </c>
      <c r="AI16" s="578">
        <f t="shared" si="7"/>
        <v>751005.15124401916</v>
      </c>
      <c r="AJ16" s="578">
        <f t="shared" si="7"/>
        <v>773535.30578133976</v>
      </c>
      <c r="AK16" s="578">
        <f t="shared" si="7"/>
        <v>796741.36495477997</v>
      </c>
      <c r="AL16" s="578">
        <f t="shared" si="7"/>
        <v>820643.60590342339</v>
      </c>
      <c r="AM16" s="578">
        <f t="shared" si="7"/>
        <v>845262.9140805261</v>
      </c>
      <c r="AN16" s="578">
        <f t="shared" si="7"/>
        <v>870620.80150294187</v>
      </c>
      <c r="AO16" s="578">
        <f t="shared" si="7"/>
        <v>896739.42554803018</v>
      </c>
      <c r="AP16" s="578">
        <f t="shared" si="7"/>
        <v>923641.60831447109</v>
      </c>
      <c r="AQ16" s="578">
        <f t="shared" si="7"/>
        <v>951350.85656390525</v>
      </c>
      <c r="AR16" s="578">
        <f t="shared" si="7"/>
        <v>979891.38226082246</v>
      </c>
      <c r="AS16" s="578">
        <f t="shared" si="7"/>
        <v>1009288.1237286471</v>
      </c>
      <c r="AT16" s="578">
        <f t="shared" si="7"/>
        <v>1039566.7674405066</v>
      </c>
      <c r="AU16" s="578">
        <f t="shared" si="7"/>
        <v>1070753.7704637218</v>
      </c>
    </row>
    <row r="17" spans="1:47" s="538" customFormat="1" ht="11.5" outlineLevel="2" x14ac:dyDescent="0.25">
      <c r="A17" s="581"/>
      <c r="B17" s="582"/>
      <c r="C17" s="585" t="s">
        <v>39</v>
      </c>
      <c r="D17" s="586">
        <f>SUM(D16:D16)</f>
        <v>0</v>
      </c>
      <c r="E17" s="586">
        <f>SUM(E16:E16)</f>
        <v>53114.383999999998</v>
      </c>
      <c r="F17" s="586">
        <f>SUM(F16:F16)</f>
        <v>318686.304</v>
      </c>
      <c r="G17" s="586">
        <f t="shared" ref="G17:AU17" si="8">SUM(G16:G16)</f>
        <v>328246.89312000002</v>
      </c>
      <c r="H17" s="586">
        <f t="shared" si="8"/>
        <v>338094.29991360003</v>
      </c>
      <c r="I17" s="586">
        <f t="shared" si="8"/>
        <v>348237.12891100801</v>
      </c>
      <c r="J17" s="586">
        <f t="shared" si="8"/>
        <v>358684.24277833826</v>
      </c>
      <c r="K17" s="586">
        <f t="shared" si="8"/>
        <v>369444.77006168844</v>
      </c>
      <c r="L17" s="586">
        <f t="shared" si="8"/>
        <v>380528.11316353909</v>
      </c>
      <c r="M17" s="586">
        <f t="shared" si="8"/>
        <v>391943.95655844529</v>
      </c>
      <c r="N17" s="586">
        <f t="shared" si="8"/>
        <v>403702.27525519865</v>
      </c>
      <c r="O17" s="586">
        <f t="shared" si="8"/>
        <v>415813.3435128546</v>
      </c>
      <c r="P17" s="586">
        <f t="shared" si="8"/>
        <v>428287.74381824024</v>
      </c>
      <c r="Q17" s="586">
        <f t="shared" si="8"/>
        <v>441136.37613278744</v>
      </c>
      <c r="R17" s="586">
        <f t="shared" si="8"/>
        <v>454370.46741677105</v>
      </c>
      <c r="S17" s="586">
        <f t="shared" si="8"/>
        <v>468001.58143927419</v>
      </c>
      <c r="T17" s="586">
        <f t="shared" si="8"/>
        <v>482041.62888245244</v>
      </c>
      <c r="U17" s="586">
        <f t="shared" si="8"/>
        <v>496502.877748926</v>
      </c>
      <c r="V17" s="586">
        <f t="shared" si="8"/>
        <v>511397.96408139379</v>
      </c>
      <c r="W17" s="586">
        <f t="shared" si="8"/>
        <v>526739.90300383558</v>
      </c>
      <c r="X17" s="586">
        <f t="shared" si="8"/>
        <v>542542.10009395063</v>
      </c>
      <c r="Y17" s="586">
        <f t="shared" si="8"/>
        <v>558818.3630967692</v>
      </c>
      <c r="Z17" s="586">
        <f t="shared" si="8"/>
        <v>575582.91398967232</v>
      </c>
      <c r="AA17" s="586">
        <f t="shared" si="8"/>
        <v>592850.40140936256</v>
      </c>
      <c r="AB17" s="586">
        <f t="shared" si="8"/>
        <v>610635.91345164343</v>
      </c>
      <c r="AC17" s="586">
        <f t="shared" si="8"/>
        <v>628954.99085519277</v>
      </c>
      <c r="AD17" s="586">
        <f t="shared" si="8"/>
        <v>647823.64058084856</v>
      </c>
      <c r="AE17" s="586">
        <f t="shared" si="8"/>
        <v>667258.34979827399</v>
      </c>
      <c r="AF17" s="586">
        <f t="shared" si="8"/>
        <v>687276.10029222223</v>
      </c>
      <c r="AG17" s="586">
        <f t="shared" si="8"/>
        <v>707894.38330098893</v>
      </c>
      <c r="AH17" s="586">
        <f t="shared" si="8"/>
        <v>729131.21480001858</v>
      </c>
      <c r="AI17" s="586">
        <f t="shared" si="8"/>
        <v>751005.15124401916</v>
      </c>
      <c r="AJ17" s="586">
        <f t="shared" si="8"/>
        <v>773535.30578133976</v>
      </c>
      <c r="AK17" s="586">
        <f t="shared" si="8"/>
        <v>796741.36495477997</v>
      </c>
      <c r="AL17" s="586">
        <f t="shared" si="8"/>
        <v>820643.60590342339</v>
      </c>
      <c r="AM17" s="586">
        <f t="shared" si="8"/>
        <v>845262.9140805261</v>
      </c>
      <c r="AN17" s="586">
        <f t="shared" si="8"/>
        <v>870620.80150294187</v>
      </c>
      <c r="AO17" s="586">
        <f t="shared" si="8"/>
        <v>896739.42554803018</v>
      </c>
      <c r="AP17" s="586">
        <f t="shared" si="8"/>
        <v>923641.60831447109</v>
      </c>
      <c r="AQ17" s="586">
        <f t="shared" si="8"/>
        <v>951350.85656390525</v>
      </c>
      <c r="AR17" s="586">
        <f t="shared" si="8"/>
        <v>979891.38226082246</v>
      </c>
      <c r="AS17" s="586">
        <f t="shared" si="8"/>
        <v>1009288.1237286471</v>
      </c>
      <c r="AT17" s="586">
        <f t="shared" si="8"/>
        <v>1039566.7674405066</v>
      </c>
      <c r="AU17" s="586">
        <f t="shared" si="8"/>
        <v>1070753.7704637218</v>
      </c>
    </row>
    <row r="18" spans="1:47" s="538" customFormat="1" ht="11.5" outlineLevel="2" x14ac:dyDescent="0.25">
      <c r="A18" s="579" t="s">
        <v>9</v>
      </c>
      <c r="B18" s="580" t="s">
        <v>296</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row>
    <row r="19" spans="1:47" s="538" customFormat="1" ht="11.5" outlineLevel="2" x14ac:dyDescent="0.25">
      <c r="A19" s="581"/>
      <c r="B19" s="582"/>
      <c r="C19" s="538" t="s">
        <v>524</v>
      </c>
      <c r="D19" s="578">
        <v>0</v>
      </c>
      <c r="E19" s="578">
        <f>F19*(2/12)</f>
        <v>1666.6666666666665</v>
      </c>
      <c r="F19" s="578">
        <v>10000</v>
      </c>
      <c r="G19" s="578">
        <f t="shared" ref="G19:AU21" si="9">F19*(1+Inf)</f>
        <v>10300</v>
      </c>
      <c r="H19" s="578">
        <f t="shared" si="9"/>
        <v>10609</v>
      </c>
      <c r="I19" s="578">
        <f t="shared" si="9"/>
        <v>10927.27</v>
      </c>
      <c r="J19" s="578">
        <f t="shared" si="9"/>
        <v>11255.088100000001</v>
      </c>
      <c r="K19" s="578">
        <f t="shared" si="9"/>
        <v>11592.740743</v>
      </c>
      <c r="L19" s="578">
        <f t="shared" si="9"/>
        <v>11940.52296529</v>
      </c>
      <c r="M19" s="578">
        <f t="shared" si="9"/>
        <v>12298.7386542487</v>
      </c>
      <c r="N19" s="578">
        <f t="shared" si="9"/>
        <v>12667.700813876161</v>
      </c>
      <c r="O19" s="578">
        <f t="shared" si="9"/>
        <v>13047.731838292446</v>
      </c>
      <c r="P19" s="578">
        <f t="shared" si="9"/>
        <v>13439.163793441219</v>
      </c>
      <c r="Q19" s="578">
        <f t="shared" si="9"/>
        <v>13842.338707244457</v>
      </c>
      <c r="R19" s="578">
        <f t="shared" si="9"/>
        <v>14257.60886846179</v>
      </c>
      <c r="S19" s="578">
        <f t="shared" si="9"/>
        <v>14685.337134515645</v>
      </c>
      <c r="T19" s="578">
        <f t="shared" si="9"/>
        <v>15125.897248551115</v>
      </c>
      <c r="U19" s="578">
        <f t="shared" si="9"/>
        <v>15579.67416600765</v>
      </c>
      <c r="V19" s="578">
        <f t="shared" si="9"/>
        <v>16047.06439098788</v>
      </c>
      <c r="W19" s="578">
        <f t="shared" si="9"/>
        <v>16528.476322717517</v>
      </c>
      <c r="X19" s="578">
        <f t="shared" si="9"/>
        <v>17024.330612399044</v>
      </c>
      <c r="Y19" s="578">
        <f t="shared" si="9"/>
        <v>17535.060530771018</v>
      </c>
      <c r="Z19" s="578">
        <f t="shared" si="9"/>
        <v>18061.11234669415</v>
      </c>
      <c r="AA19" s="578">
        <f t="shared" si="9"/>
        <v>18602.945717094975</v>
      </c>
      <c r="AB19" s="578">
        <f t="shared" si="9"/>
        <v>19161.034088607827</v>
      </c>
      <c r="AC19" s="578">
        <f t="shared" si="9"/>
        <v>19735.865111266063</v>
      </c>
      <c r="AD19" s="578">
        <f t="shared" si="9"/>
        <v>20327.941064604045</v>
      </c>
      <c r="AE19" s="578">
        <f t="shared" si="9"/>
        <v>20937.779296542169</v>
      </c>
      <c r="AF19" s="578">
        <f t="shared" si="9"/>
        <v>21565.912675438434</v>
      </c>
      <c r="AG19" s="578">
        <f t="shared" si="9"/>
        <v>22212.890055701588</v>
      </c>
      <c r="AH19" s="578">
        <f t="shared" si="9"/>
        <v>22879.276757372634</v>
      </c>
      <c r="AI19" s="578">
        <f t="shared" si="9"/>
        <v>23565.655060093814</v>
      </c>
      <c r="AJ19" s="578">
        <f t="shared" si="9"/>
        <v>24272.624711896628</v>
      </c>
      <c r="AK19" s="578">
        <f t="shared" si="9"/>
        <v>25000.803453253528</v>
      </c>
      <c r="AL19" s="578">
        <f t="shared" si="9"/>
        <v>25750.827556851134</v>
      </c>
      <c r="AM19" s="578">
        <f t="shared" si="9"/>
        <v>26523.35238355667</v>
      </c>
      <c r="AN19" s="578">
        <f t="shared" si="9"/>
        <v>27319.052955063373</v>
      </c>
      <c r="AO19" s="578">
        <f t="shared" si="9"/>
        <v>28138.624543715276</v>
      </c>
      <c r="AP19" s="578">
        <f t="shared" si="9"/>
        <v>28982.783280026735</v>
      </c>
      <c r="AQ19" s="578">
        <f t="shared" si="9"/>
        <v>29852.266778427536</v>
      </c>
      <c r="AR19" s="578">
        <f t="shared" si="9"/>
        <v>30747.834781780362</v>
      </c>
      <c r="AS19" s="578">
        <f t="shared" si="9"/>
        <v>31670.269825233772</v>
      </c>
      <c r="AT19" s="578">
        <f t="shared" si="9"/>
        <v>32620.377919990788</v>
      </c>
      <c r="AU19" s="578">
        <f t="shared" si="9"/>
        <v>33598.989257590511</v>
      </c>
    </row>
    <row r="20" spans="1:47" s="538" customFormat="1" ht="11.5" outlineLevel="2" x14ac:dyDescent="0.25">
      <c r="A20" s="581"/>
      <c r="B20" s="582"/>
      <c r="C20" s="538" t="s">
        <v>11</v>
      </c>
      <c r="D20" s="578">
        <v>0</v>
      </c>
      <c r="E20" s="578">
        <f>F20*(2/12)</f>
        <v>333.33333333333331</v>
      </c>
      <c r="F20" s="578">
        <v>2000</v>
      </c>
      <c r="G20" s="578">
        <f t="shared" si="9"/>
        <v>2060</v>
      </c>
      <c r="H20" s="578">
        <f t="shared" si="9"/>
        <v>2121.8000000000002</v>
      </c>
      <c r="I20" s="578">
        <f t="shared" si="9"/>
        <v>2185.4540000000002</v>
      </c>
      <c r="J20" s="578">
        <f t="shared" si="9"/>
        <v>2251.0176200000001</v>
      </c>
      <c r="K20" s="578">
        <f t="shared" si="9"/>
        <v>2318.5481486000003</v>
      </c>
      <c r="L20" s="578">
        <f t="shared" si="9"/>
        <v>2388.1045930580003</v>
      </c>
      <c r="M20" s="578">
        <f t="shared" si="9"/>
        <v>2459.7477308497405</v>
      </c>
      <c r="N20" s="578">
        <f t="shared" si="9"/>
        <v>2533.5401627752326</v>
      </c>
      <c r="O20" s="578">
        <f t="shared" si="9"/>
        <v>2609.5463676584895</v>
      </c>
      <c r="P20" s="578">
        <f t="shared" si="9"/>
        <v>2687.8327586882442</v>
      </c>
      <c r="Q20" s="578">
        <f t="shared" si="9"/>
        <v>2768.4677414488915</v>
      </c>
      <c r="R20" s="578">
        <f t="shared" si="9"/>
        <v>2851.5217736923582</v>
      </c>
      <c r="S20" s="578">
        <f t="shared" si="9"/>
        <v>2937.0674269031292</v>
      </c>
      <c r="T20" s="578">
        <f t="shared" si="9"/>
        <v>3025.1794497102233</v>
      </c>
      <c r="U20" s="578">
        <f t="shared" si="9"/>
        <v>3115.9348332015302</v>
      </c>
      <c r="V20" s="578">
        <f t="shared" si="9"/>
        <v>3209.412878197576</v>
      </c>
      <c r="W20" s="578">
        <f t="shared" si="9"/>
        <v>3305.6952645435035</v>
      </c>
      <c r="X20" s="578">
        <f t="shared" si="9"/>
        <v>3404.8661224798088</v>
      </c>
      <c r="Y20" s="578">
        <f t="shared" si="9"/>
        <v>3507.0121061542031</v>
      </c>
      <c r="Z20" s="578">
        <f t="shared" si="9"/>
        <v>3612.2224693388293</v>
      </c>
      <c r="AA20" s="578">
        <f t="shared" si="9"/>
        <v>3720.5891434189944</v>
      </c>
      <c r="AB20" s="578">
        <f t="shared" si="9"/>
        <v>3832.2068177215642</v>
      </c>
      <c r="AC20" s="578">
        <f t="shared" si="9"/>
        <v>3947.1730222532115</v>
      </c>
      <c r="AD20" s="578">
        <f t="shared" si="9"/>
        <v>4065.588212920808</v>
      </c>
      <c r="AE20" s="578">
        <f t="shared" si="9"/>
        <v>4187.5558593084324</v>
      </c>
      <c r="AF20" s="578">
        <f t="shared" si="9"/>
        <v>4313.1825350876852</v>
      </c>
      <c r="AG20" s="578">
        <f t="shared" si="9"/>
        <v>4442.5780111403155</v>
      </c>
      <c r="AH20" s="578">
        <f t="shared" si="9"/>
        <v>4575.8553514745254</v>
      </c>
      <c r="AI20" s="578">
        <f t="shared" si="9"/>
        <v>4713.1310120187609</v>
      </c>
      <c r="AJ20" s="578">
        <f t="shared" si="9"/>
        <v>4854.5249423793239</v>
      </c>
      <c r="AK20" s="578">
        <f t="shared" si="9"/>
        <v>5000.1606906507041</v>
      </c>
      <c r="AL20" s="578">
        <f t="shared" si="9"/>
        <v>5150.1655113702254</v>
      </c>
      <c r="AM20" s="578">
        <f t="shared" si="9"/>
        <v>5304.6704767113324</v>
      </c>
      <c r="AN20" s="578">
        <f t="shared" si="9"/>
        <v>5463.8105910126724</v>
      </c>
      <c r="AO20" s="578">
        <f t="shared" si="9"/>
        <v>5627.7249087430528</v>
      </c>
      <c r="AP20" s="578">
        <f t="shared" si="9"/>
        <v>5796.5566560053448</v>
      </c>
      <c r="AQ20" s="578">
        <f t="shared" si="9"/>
        <v>5970.4533556855049</v>
      </c>
      <c r="AR20" s="578">
        <f t="shared" si="9"/>
        <v>6149.5669563560705</v>
      </c>
      <c r="AS20" s="578">
        <f t="shared" si="9"/>
        <v>6334.0539650467526</v>
      </c>
      <c r="AT20" s="578">
        <f t="shared" si="9"/>
        <v>6524.0755839981557</v>
      </c>
      <c r="AU20" s="578">
        <f t="shared" si="9"/>
        <v>6719.7978515181003</v>
      </c>
    </row>
    <row r="21" spans="1:47" s="538" customFormat="1" ht="11.5" outlineLevel="2" x14ac:dyDescent="0.25">
      <c r="A21" s="581"/>
      <c r="B21" s="582"/>
      <c r="C21" s="538" t="s">
        <v>12</v>
      </c>
      <c r="D21" s="578">
        <v>0</v>
      </c>
      <c r="E21" s="578">
        <f>F21*(2/12)</f>
        <v>833.33333333333326</v>
      </c>
      <c r="F21" s="578">
        <v>5000</v>
      </c>
      <c r="G21" s="578">
        <f t="shared" si="9"/>
        <v>5150</v>
      </c>
      <c r="H21" s="578">
        <f t="shared" si="9"/>
        <v>5304.5</v>
      </c>
      <c r="I21" s="578">
        <f t="shared" si="9"/>
        <v>5463.6350000000002</v>
      </c>
      <c r="J21" s="578">
        <f t="shared" si="9"/>
        <v>5627.5440500000004</v>
      </c>
      <c r="K21" s="578">
        <f t="shared" si="9"/>
        <v>5796.3703715000001</v>
      </c>
      <c r="L21" s="578">
        <f t="shared" si="9"/>
        <v>5970.2614826449999</v>
      </c>
      <c r="M21" s="578">
        <f t="shared" si="9"/>
        <v>6149.3693271243501</v>
      </c>
      <c r="N21" s="578">
        <f t="shared" si="9"/>
        <v>6333.8504069380806</v>
      </c>
      <c r="O21" s="578">
        <f t="shared" si="9"/>
        <v>6523.865919146223</v>
      </c>
      <c r="P21" s="578">
        <f t="shared" si="9"/>
        <v>6719.5818967206096</v>
      </c>
      <c r="Q21" s="578">
        <f t="shared" si="9"/>
        <v>6921.1693536222283</v>
      </c>
      <c r="R21" s="578">
        <f t="shared" si="9"/>
        <v>7128.8044342308949</v>
      </c>
      <c r="S21" s="578">
        <f t="shared" si="9"/>
        <v>7342.6685672578224</v>
      </c>
      <c r="T21" s="578">
        <f t="shared" si="9"/>
        <v>7562.9486242755574</v>
      </c>
      <c r="U21" s="578">
        <f t="shared" si="9"/>
        <v>7789.8370830038248</v>
      </c>
      <c r="V21" s="578">
        <f t="shared" si="9"/>
        <v>8023.53219549394</v>
      </c>
      <c r="W21" s="578">
        <f t="shared" si="9"/>
        <v>8264.2381613587586</v>
      </c>
      <c r="X21" s="578">
        <f t="shared" si="9"/>
        <v>8512.1653061995221</v>
      </c>
      <c r="Y21" s="578">
        <f t="shared" si="9"/>
        <v>8767.5302653855088</v>
      </c>
      <c r="Z21" s="578">
        <f t="shared" si="9"/>
        <v>9030.5561733470749</v>
      </c>
      <c r="AA21" s="578">
        <f t="shared" si="9"/>
        <v>9301.4728585474877</v>
      </c>
      <c r="AB21" s="578">
        <f t="shared" si="9"/>
        <v>9580.5170443039133</v>
      </c>
      <c r="AC21" s="578">
        <f t="shared" si="9"/>
        <v>9867.9325556330314</v>
      </c>
      <c r="AD21" s="578">
        <f t="shared" si="9"/>
        <v>10163.970532302023</v>
      </c>
      <c r="AE21" s="578">
        <f t="shared" si="9"/>
        <v>10468.889648271084</v>
      </c>
      <c r="AF21" s="578">
        <f t="shared" si="9"/>
        <v>10782.956337719217</v>
      </c>
      <c r="AG21" s="578">
        <f t="shared" si="9"/>
        <v>11106.445027850794</v>
      </c>
      <c r="AH21" s="578">
        <f t="shared" si="9"/>
        <v>11439.638378686317</v>
      </c>
      <c r="AI21" s="578">
        <f t="shared" si="9"/>
        <v>11782.827530046907</v>
      </c>
      <c r="AJ21" s="578">
        <f t="shared" si="9"/>
        <v>12136.312355948314</v>
      </c>
      <c r="AK21" s="578">
        <f t="shared" si="9"/>
        <v>12500.401726626764</v>
      </c>
      <c r="AL21" s="578">
        <f t="shared" si="9"/>
        <v>12875.413778425567</v>
      </c>
      <c r="AM21" s="578">
        <f t="shared" si="9"/>
        <v>13261.676191778335</v>
      </c>
      <c r="AN21" s="578">
        <f t="shared" si="9"/>
        <v>13659.526477531686</v>
      </c>
      <c r="AO21" s="578">
        <f t="shared" si="9"/>
        <v>14069.312271857638</v>
      </c>
      <c r="AP21" s="578">
        <f t="shared" si="9"/>
        <v>14491.391640013368</v>
      </c>
      <c r="AQ21" s="578">
        <f t="shared" si="9"/>
        <v>14926.133389213768</v>
      </c>
      <c r="AR21" s="578">
        <f t="shared" si="9"/>
        <v>15373.917390890181</v>
      </c>
      <c r="AS21" s="578">
        <f t="shared" si="9"/>
        <v>15835.134912616886</v>
      </c>
      <c r="AT21" s="578">
        <f t="shared" si="9"/>
        <v>16310.188959995394</v>
      </c>
      <c r="AU21" s="578">
        <f t="shared" si="9"/>
        <v>16799.494628795255</v>
      </c>
    </row>
    <row r="22" spans="1:47" s="538" customFormat="1" ht="11.5" outlineLevel="2" x14ac:dyDescent="0.25">
      <c r="A22" s="581"/>
      <c r="B22" s="582"/>
      <c r="C22" s="585" t="s">
        <v>40</v>
      </c>
      <c r="D22" s="586">
        <f t="shared" ref="D22:AU22" si="10">SUM(D19:D21)</f>
        <v>0</v>
      </c>
      <c r="E22" s="586">
        <f t="shared" si="10"/>
        <v>2833.333333333333</v>
      </c>
      <c r="F22" s="586">
        <f t="shared" si="10"/>
        <v>17000</v>
      </c>
      <c r="G22" s="586">
        <f t="shared" si="10"/>
        <v>17510</v>
      </c>
      <c r="H22" s="586">
        <f t="shared" si="10"/>
        <v>18035.3</v>
      </c>
      <c r="I22" s="586">
        <f t="shared" si="10"/>
        <v>18576.359</v>
      </c>
      <c r="J22" s="586">
        <f t="shared" si="10"/>
        <v>19133.649770000004</v>
      </c>
      <c r="K22" s="586">
        <f t="shared" si="10"/>
        <v>19707.659263100002</v>
      </c>
      <c r="L22" s="586">
        <f t="shared" si="10"/>
        <v>20298.889040992999</v>
      </c>
      <c r="M22" s="586">
        <f t="shared" si="10"/>
        <v>20907.85571222279</v>
      </c>
      <c r="N22" s="586">
        <f t="shared" si="10"/>
        <v>21535.091383589475</v>
      </c>
      <c r="O22" s="586">
        <f t="shared" si="10"/>
        <v>22181.144125097158</v>
      </c>
      <c r="P22" s="586">
        <f t="shared" si="10"/>
        <v>22846.578448850072</v>
      </c>
      <c r="Q22" s="586">
        <f t="shared" si="10"/>
        <v>23531.975802315574</v>
      </c>
      <c r="R22" s="586">
        <f t="shared" si="10"/>
        <v>24237.935076385045</v>
      </c>
      <c r="S22" s="586">
        <f t="shared" si="10"/>
        <v>24965.073128676595</v>
      </c>
      <c r="T22" s="586">
        <f t="shared" si="10"/>
        <v>25714.025322536894</v>
      </c>
      <c r="U22" s="586">
        <f t="shared" si="10"/>
        <v>26485.446082213006</v>
      </c>
      <c r="V22" s="586">
        <f t="shared" si="10"/>
        <v>27280.009464679395</v>
      </c>
      <c r="W22" s="586">
        <f t="shared" si="10"/>
        <v>28098.409748619779</v>
      </c>
      <c r="X22" s="586">
        <f t="shared" si="10"/>
        <v>28941.362041078377</v>
      </c>
      <c r="Y22" s="586">
        <f t="shared" si="10"/>
        <v>29809.602902310733</v>
      </c>
      <c r="Z22" s="586">
        <f t="shared" si="10"/>
        <v>30703.890989380056</v>
      </c>
      <c r="AA22" s="586">
        <f t="shared" si="10"/>
        <v>31625.007719061457</v>
      </c>
      <c r="AB22" s="586">
        <f t="shared" si="10"/>
        <v>32573.757950633302</v>
      </c>
      <c r="AC22" s="586">
        <f t="shared" si="10"/>
        <v>33550.970689152302</v>
      </c>
      <c r="AD22" s="586">
        <f t="shared" si="10"/>
        <v>34557.499809826877</v>
      </c>
      <c r="AE22" s="586">
        <f t="shared" si="10"/>
        <v>35594.224804121681</v>
      </c>
      <c r="AF22" s="586">
        <f t="shared" si="10"/>
        <v>36662.051548245334</v>
      </c>
      <c r="AG22" s="586">
        <f t="shared" si="10"/>
        <v>37761.913094692696</v>
      </c>
      <c r="AH22" s="586">
        <f t="shared" si="10"/>
        <v>38894.770487533475</v>
      </c>
      <c r="AI22" s="586">
        <f t="shared" si="10"/>
        <v>40061.613602159487</v>
      </c>
      <c r="AJ22" s="586">
        <f t="shared" si="10"/>
        <v>41263.462010224262</v>
      </c>
      <c r="AK22" s="586">
        <f t="shared" si="10"/>
        <v>42501.365870530994</v>
      </c>
      <c r="AL22" s="586">
        <f t="shared" si="10"/>
        <v>43776.406846646925</v>
      </c>
      <c r="AM22" s="586">
        <f t="shared" si="10"/>
        <v>45089.699052046337</v>
      </c>
      <c r="AN22" s="586">
        <f t="shared" si="10"/>
        <v>46442.390023607732</v>
      </c>
      <c r="AO22" s="586">
        <f t="shared" si="10"/>
        <v>47835.661724315971</v>
      </c>
      <c r="AP22" s="586">
        <f t="shared" si="10"/>
        <v>49270.731576045444</v>
      </c>
      <c r="AQ22" s="586">
        <f t="shared" si="10"/>
        <v>50748.853523326812</v>
      </c>
      <c r="AR22" s="586">
        <f t="shared" si="10"/>
        <v>52271.319129026611</v>
      </c>
      <c r="AS22" s="586">
        <f t="shared" si="10"/>
        <v>53839.458702897413</v>
      </c>
      <c r="AT22" s="586">
        <f t="shared" si="10"/>
        <v>55454.642463984339</v>
      </c>
      <c r="AU22" s="586">
        <f t="shared" si="10"/>
        <v>57118.281737903868</v>
      </c>
    </row>
    <row r="23" spans="1:47" s="538" customFormat="1" ht="11.5" outlineLevel="2" x14ac:dyDescent="0.25">
      <c r="A23" s="579" t="s">
        <v>10</v>
      </c>
      <c r="B23" s="580" t="s">
        <v>523</v>
      </c>
      <c r="D23" s="586"/>
      <c r="E23" s="586"/>
      <c r="F23" s="586"/>
      <c r="G23" s="646"/>
      <c r="H23" s="586"/>
      <c r="I23" s="586"/>
      <c r="J23" s="586"/>
      <c r="K23" s="586"/>
      <c r="L23" s="586"/>
      <c r="M23" s="586"/>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row>
    <row r="24" spans="1:47" s="538" customFormat="1" ht="11.5" outlineLevel="2" x14ac:dyDescent="0.25">
      <c r="A24" s="581"/>
      <c r="B24" s="582"/>
      <c r="C24" s="538" t="s">
        <v>423</v>
      </c>
      <c r="D24" s="578">
        <v>0</v>
      </c>
      <c r="E24" s="578">
        <f>(SUM(E45:E48)/5)*6</f>
        <v>19386</v>
      </c>
      <c r="F24" s="578">
        <f>(SUM(F45:F48)/5)*6</f>
        <v>129997.20000000001</v>
      </c>
      <c r="G24" s="578">
        <f t="shared" ref="G24:AU24" si="11">(SUM(G45:G48)/5)*6</f>
        <v>170914.8</v>
      </c>
      <c r="H24" s="578">
        <f t="shared" si="11"/>
        <v>174901.2</v>
      </c>
      <c r="I24" s="578">
        <f t="shared" si="11"/>
        <v>179023.2</v>
      </c>
      <c r="J24" s="578">
        <f t="shared" si="11"/>
        <v>183288</v>
      </c>
      <c r="K24" s="578">
        <f t="shared" si="11"/>
        <v>187692</v>
      </c>
      <c r="L24" s="578">
        <f t="shared" si="11"/>
        <v>192235.2</v>
      </c>
      <c r="M24" s="578">
        <f t="shared" si="11"/>
        <v>196917.59999999998</v>
      </c>
      <c r="N24" s="578">
        <f t="shared" si="11"/>
        <v>201696</v>
      </c>
      <c r="O24" s="578">
        <f t="shared" si="11"/>
        <v>206613.59999999998</v>
      </c>
      <c r="P24" s="578">
        <f t="shared" si="11"/>
        <v>211670.40000000002</v>
      </c>
      <c r="Q24" s="578">
        <f t="shared" si="11"/>
        <v>216957.59999999998</v>
      </c>
      <c r="R24" s="578">
        <f t="shared" si="11"/>
        <v>222340.80000000002</v>
      </c>
      <c r="S24" s="578">
        <f t="shared" si="11"/>
        <v>227863.19999999998</v>
      </c>
      <c r="T24" s="578">
        <f t="shared" si="11"/>
        <v>233572.80000000002</v>
      </c>
      <c r="U24" s="578">
        <f t="shared" si="11"/>
        <v>239421.59999999998</v>
      </c>
      <c r="V24" s="578">
        <f t="shared" si="11"/>
        <v>245457.59999999998</v>
      </c>
      <c r="W24" s="578">
        <f t="shared" si="11"/>
        <v>251724</v>
      </c>
      <c r="X24" s="578">
        <f t="shared" si="11"/>
        <v>258086.40000000002</v>
      </c>
      <c r="Y24" s="578">
        <f t="shared" si="11"/>
        <v>264679.19999999995</v>
      </c>
      <c r="Z24" s="578">
        <f t="shared" si="11"/>
        <v>271554</v>
      </c>
      <c r="AA24" s="578">
        <f t="shared" si="11"/>
        <v>278564.40000000002</v>
      </c>
      <c r="AB24" s="578">
        <f t="shared" si="11"/>
        <v>285718.80000000005</v>
      </c>
      <c r="AC24" s="578">
        <f t="shared" si="11"/>
        <v>293103.59999999998</v>
      </c>
      <c r="AD24" s="578">
        <f t="shared" si="11"/>
        <v>300766.80000000005</v>
      </c>
      <c r="AE24" s="578">
        <f t="shared" si="11"/>
        <v>308617.19999999995</v>
      </c>
      <c r="AF24" s="578">
        <f t="shared" si="11"/>
        <v>316746</v>
      </c>
      <c r="AG24" s="578">
        <f t="shared" si="11"/>
        <v>325108.80000000005</v>
      </c>
      <c r="AH24" s="578">
        <f t="shared" si="11"/>
        <v>333703.19999999995</v>
      </c>
      <c r="AI24" s="578">
        <f t="shared" si="11"/>
        <v>342576</v>
      </c>
      <c r="AJ24" s="578">
        <f t="shared" si="11"/>
        <v>351636</v>
      </c>
      <c r="AK24" s="578">
        <f t="shared" si="11"/>
        <v>361065.6</v>
      </c>
      <c r="AL24" s="578">
        <f t="shared" si="11"/>
        <v>370777.19999999995</v>
      </c>
      <c r="AM24" s="578">
        <f t="shared" si="11"/>
        <v>380720.4</v>
      </c>
      <c r="AN24" s="578">
        <f t="shared" si="11"/>
        <v>391033.19999999995</v>
      </c>
      <c r="AO24" s="578">
        <f t="shared" si="11"/>
        <v>401581.19999999995</v>
      </c>
      <c r="AP24" s="578">
        <f t="shared" si="11"/>
        <v>412545.60000000003</v>
      </c>
      <c r="AQ24" s="578">
        <f t="shared" si="11"/>
        <v>423789.60000000003</v>
      </c>
      <c r="AR24" s="578">
        <f t="shared" si="11"/>
        <v>435312</v>
      </c>
      <c r="AS24" s="578">
        <f t="shared" si="11"/>
        <v>447298.80000000005</v>
      </c>
      <c r="AT24" s="578">
        <f t="shared" si="11"/>
        <v>459565.19999999995</v>
      </c>
      <c r="AU24" s="578">
        <f t="shared" si="11"/>
        <v>472201.19999999995</v>
      </c>
    </row>
    <row r="25" spans="1:47" s="538" customFormat="1" ht="11.5" outlineLevel="2" x14ac:dyDescent="0.25">
      <c r="A25" s="581"/>
      <c r="B25" s="582"/>
      <c r="C25" s="538" t="s">
        <v>525</v>
      </c>
      <c r="D25" s="578">
        <v>0</v>
      </c>
      <c r="E25" s="578">
        <f>SUM(E45:E48)*'Madison Hauling Costs'!$I$8</f>
        <v>6238.7609333649234</v>
      </c>
      <c r="F25" s="578">
        <f>SUM(F45:F48)*'Madison Hauling Costs'!$I$8</f>
        <v>41835.420035429001</v>
      </c>
      <c r="G25" s="578">
        <f>SUM(G45:G48)*'Madison Hauling Costs'!$I$8</f>
        <v>55003.434291441205</v>
      </c>
      <c r="H25" s="578">
        <f>SUM(H45:H48)*'Madison Hauling Costs'!$I$8</f>
        <v>56286.328987859546</v>
      </c>
      <c r="I25" s="578">
        <f>SUM(I45:I48)*'Madison Hauling Costs'!$I$8</f>
        <v>57612.862185390251</v>
      </c>
      <c r="J25" s="578">
        <f>SUM(J45:J48)*'Madison Hauling Costs'!$I$8</f>
        <v>58985.350972587956</v>
      </c>
      <c r="K25" s="578">
        <f>SUM(K45:K48)*'Madison Hauling Costs'!$I$8</f>
        <v>60402.636805175345</v>
      </c>
      <c r="L25" s="578">
        <f>SUM(L45:L48)*'Madison Hauling Costs'!$I$8</f>
        <v>61864.71968315242</v>
      </c>
      <c r="M25" s="578">
        <f>SUM(M45:M48)*'Madison Hauling Costs'!$I$8</f>
        <v>63371.599606519172</v>
      </c>
      <c r="N25" s="578">
        <f>SUM(N45:N48)*'Madison Hauling Costs'!$I$8</f>
        <v>64909.374043947777</v>
      </c>
      <c r="O25" s="578">
        <f>SUM(O45:O48)*'Madison Hauling Costs'!$I$8</f>
        <v>66491.945526766067</v>
      </c>
      <c r="P25" s="578">
        <f>SUM(P45:P48)*'Madison Hauling Costs'!$I$8</f>
        <v>68119.314054974035</v>
      </c>
      <c r="Q25" s="578">
        <f>SUM(Q45:Q48)*'Madison Hauling Costs'!$I$8</f>
        <v>69820.829416930457</v>
      </c>
      <c r="R25" s="578">
        <f>SUM(R45:R48)*'Madison Hauling Costs'!$I$8</f>
        <v>71553.23929294871</v>
      </c>
      <c r="S25" s="578">
        <f>SUM(S45:S48)*'Madison Hauling Costs'!$I$8</f>
        <v>73330.446214356663</v>
      </c>
      <c r="T25" s="578">
        <f>SUM(T45:T48)*'Madison Hauling Costs'!$I$8</f>
        <v>75167.897438185217</v>
      </c>
      <c r="U25" s="578">
        <f>SUM(U45:U48)*'Madison Hauling Costs'!$I$8</f>
        <v>77050.145707403455</v>
      </c>
      <c r="V25" s="578">
        <f>SUM(V45:V48)*'Madison Hauling Costs'!$I$8</f>
        <v>78992.638279042309</v>
      </c>
      <c r="W25" s="578">
        <f>SUM(W45:W48)*'Madison Hauling Costs'!$I$8</f>
        <v>81009.277684429588</v>
      </c>
      <c r="X25" s="578">
        <f>SUM(X45:X48)*'Madison Hauling Costs'!$I$8</f>
        <v>83056.811603878727</v>
      </c>
      <c r="Y25" s="578">
        <f>SUM(Y45:Y48)*'Madison Hauling Costs'!$I$8</f>
        <v>85178.492357076306</v>
      </c>
      <c r="Z25" s="578">
        <f>SUM(Z45:Z48)*'Madison Hauling Costs'!$I$8</f>
        <v>87390.925745330576</v>
      </c>
      <c r="AA25" s="578">
        <f>SUM(AA45:AA48)*'Madison Hauling Costs'!$I$8</f>
        <v>89646.997634697196</v>
      </c>
      <c r="AB25" s="578">
        <f>SUM(AB45:AB48)*'Madison Hauling Costs'!$I$8</f>
        <v>91949.411295156606</v>
      </c>
      <c r="AC25" s="578">
        <f>SUM(AC45:AC48)*'Madison Hauling Costs'!$I$8</f>
        <v>94325.971789364456</v>
      </c>
      <c r="AD25" s="578">
        <f>SUM(AD45:AD48)*'Madison Hauling Costs'!$I$8</f>
        <v>96792.126374351661</v>
      </c>
      <c r="AE25" s="578">
        <f>SUM(AE45:AE48)*'Madison Hauling Costs'!$I$8</f>
        <v>99318.525261759482</v>
      </c>
      <c r="AF25" s="578">
        <f>SUM(AF45:AF48)*'Madison Hauling Costs'!$I$8</f>
        <v>101934.51823994667</v>
      </c>
      <c r="AG25" s="578">
        <f>SUM(AG45:AG48)*'Madison Hauling Costs'!$I$8</f>
        <v>104625.81659615961</v>
      </c>
      <c r="AH25" s="578">
        <f>SUM(AH45:AH48)*'Madison Hauling Costs'!$I$8</f>
        <v>107391.64796754677</v>
      </c>
      <c r="AI25" s="578">
        <f>SUM(AI45:AI48)*'Madison Hauling Costs'!$I$8</f>
        <v>110247.0734297133</v>
      </c>
      <c r="AJ25" s="578">
        <f>SUM(AJ45:AJ48)*'Madison Hauling Costs'!$I$8</f>
        <v>113162.74319430043</v>
      </c>
      <c r="AK25" s="578">
        <f>SUM(AK45:AK48)*'Madison Hauling Costs'!$I$8</f>
        <v>116197.35683802569</v>
      </c>
      <c r="AL25" s="578">
        <f>SUM(AL45:AL48)*'Madison Hauling Costs'!$I$8</f>
        <v>119322.72311680764</v>
      </c>
      <c r="AM25" s="578">
        <f>SUM(AM45:AM48)*'Madison Hauling Costs'!$I$8</f>
        <v>122522.6224107638</v>
      </c>
      <c r="AN25" s="578">
        <f>SUM(AN45:AN48)*'Madison Hauling Costs'!$I$8</f>
        <v>125841.46558385808</v>
      </c>
      <c r="AO25" s="578">
        <f>SUM(AO45:AO48)*'Madison Hauling Costs'!$I$8</f>
        <v>129236.00031640391</v>
      </c>
      <c r="AP25" s="578">
        <f>SUM(AP45:AP48)*'Madison Hauling Costs'!$I$8</f>
        <v>132764.54000369299</v>
      </c>
      <c r="AQ25" s="578">
        <f>SUM(AQ45:AQ48)*'Madison Hauling Costs'!$I$8</f>
        <v>136383.05996318723</v>
      </c>
      <c r="AR25" s="578">
        <f>SUM(AR45:AR48)*'Madison Hauling Costs'!$I$8</f>
        <v>140091.17401346084</v>
      </c>
      <c r="AS25" s="578">
        <f>SUM(AS45:AS48)*'Madison Hauling Costs'!$I$8</f>
        <v>143948.74027550864</v>
      </c>
      <c r="AT25" s="578">
        <f>SUM(AT45:AT48)*'Madison Hauling Costs'!$I$8</f>
        <v>147896.28680976157</v>
      </c>
      <c r="AU25" s="578">
        <f>SUM(AU45:AU48)*'Madison Hauling Costs'!$I$8</f>
        <v>151962.77722315263</v>
      </c>
    </row>
    <row r="26" spans="1:47" s="538" customFormat="1" ht="11.5" outlineLevel="2" x14ac:dyDescent="0.25">
      <c r="A26" s="581"/>
      <c r="B26" s="582"/>
      <c r="C26" s="585" t="s">
        <v>40</v>
      </c>
      <c r="D26" s="586">
        <f>SUM(D24:D25)</f>
        <v>0</v>
      </c>
      <c r="E26" s="586">
        <f t="shared" ref="E26:AU26" si="12">SUM(E24:E25)</f>
        <v>25624.760933364923</v>
      </c>
      <c r="F26" s="586">
        <f t="shared" si="12"/>
        <v>171832.62003542902</v>
      </c>
      <c r="G26" s="586">
        <f t="shared" si="12"/>
        <v>225918.23429144119</v>
      </c>
      <c r="H26" s="586">
        <f t="shared" si="12"/>
        <v>231187.52898785955</v>
      </c>
      <c r="I26" s="586">
        <f t="shared" si="12"/>
        <v>236636.06218539027</v>
      </c>
      <c r="J26" s="586">
        <f t="shared" si="12"/>
        <v>242273.35097258794</v>
      </c>
      <c r="K26" s="586">
        <f t="shared" si="12"/>
        <v>248094.63680517534</v>
      </c>
      <c r="L26" s="586">
        <f t="shared" si="12"/>
        <v>254099.91968315243</v>
      </c>
      <c r="M26" s="586">
        <f t="shared" si="12"/>
        <v>260289.19960651913</v>
      </c>
      <c r="N26" s="586">
        <f t="shared" si="12"/>
        <v>266605.37404394778</v>
      </c>
      <c r="O26" s="586">
        <f t="shared" si="12"/>
        <v>273105.54552676604</v>
      </c>
      <c r="P26" s="586">
        <f t="shared" si="12"/>
        <v>279789.71405497403</v>
      </c>
      <c r="Q26" s="586">
        <f t="shared" si="12"/>
        <v>286778.42941693042</v>
      </c>
      <c r="R26" s="586">
        <f t="shared" si="12"/>
        <v>293894.03929294873</v>
      </c>
      <c r="S26" s="586">
        <f t="shared" si="12"/>
        <v>301193.64621435665</v>
      </c>
      <c r="T26" s="586">
        <f t="shared" si="12"/>
        <v>308740.69743818522</v>
      </c>
      <c r="U26" s="586">
        <f t="shared" si="12"/>
        <v>316471.7457074034</v>
      </c>
      <c r="V26" s="586">
        <f t="shared" si="12"/>
        <v>324450.2382790423</v>
      </c>
      <c r="W26" s="586">
        <f t="shared" si="12"/>
        <v>332733.2776844296</v>
      </c>
      <c r="X26" s="586">
        <f t="shared" si="12"/>
        <v>341143.21160387876</v>
      </c>
      <c r="Y26" s="586">
        <f t="shared" si="12"/>
        <v>349857.69235707627</v>
      </c>
      <c r="Z26" s="586">
        <f t="shared" si="12"/>
        <v>358944.92574533058</v>
      </c>
      <c r="AA26" s="586">
        <f t="shared" si="12"/>
        <v>368211.3976346972</v>
      </c>
      <c r="AB26" s="586">
        <f t="shared" si="12"/>
        <v>377668.21129515662</v>
      </c>
      <c r="AC26" s="586">
        <f t="shared" si="12"/>
        <v>387429.57178936445</v>
      </c>
      <c r="AD26" s="586">
        <f t="shared" si="12"/>
        <v>397558.92637435172</v>
      </c>
      <c r="AE26" s="586">
        <f t="shared" si="12"/>
        <v>407935.72526175942</v>
      </c>
      <c r="AF26" s="586">
        <f t="shared" si="12"/>
        <v>418680.51823994669</v>
      </c>
      <c r="AG26" s="586">
        <f t="shared" si="12"/>
        <v>429734.61659615964</v>
      </c>
      <c r="AH26" s="586">
        <f t="shared" si="12"/>
        <v>441094.84796754672</v>
      </c>
      <c r="AI26" s="586">
        <f t="shared" si="12"/>
        <v>452823.07342971332</v>
      </c>
      <c r="AJ26" s="586">
        <f t="shared" si="12"/>
        <v>464798.74319430045</v>
      </c>
      <c r="AK26" s="586">
        <f t="shared" si="12"/>
        <v>477262.95683802565</v>
      </c>
      <c r="AL26" s="586">
        <f t="shared" si="12"/>
        <v>490099.92311680759</v>
      </c>
      <c r="AM26" s="586">
        <f t="shared" si="12"/>
        <v>503243.02241076384</v>
      </c>
      <c r="AN26" s="586">
        <f t="shared" si="12"/>
        <v>516874.66558385803</v>
      </c>
      <c r="AO26" s="586">
        <f t="shared" si="12"/>
        <v>530817.20031640388</v>
      </c>
      <c r="AP26" s="586">
        <f t="shared" si="12"/>
        <v>545310.14000369306</v>
      </c>
      <c r="AQ26" s="586">
        <f t="shared" si="12"/>
        <v>560172.6599631873</v>
      </c>
      <c r="AR26" s="586">
        <f t="shared" si="12"/>
        <v>575403.17401346087</v>
      </c>
      <c r="AS26" s="586">
        <f t="shared" si="12"/>
        <v>591247.54027550865</v>
      </c>
      <c r="AT26" s="586">
        <f t="shared" si="12"/>
        <v>607461.4868097615</v>
      </c>
      <c r="AU26" s="586">
        <f t="shared" si="12"/>
        <v>624163.97722315253</v>
      </c>
    </row>
    <row r="27" spans="1:47" s="538" customFormat="1" ht="11.5" outlineLevel="2" x14ac:dyDescent="0.25">
      <c r="A27" s="579" t="s">
        <v>395</v>
      </c>
      <c r="B27" s="580" t="s">
        <v>522</v>
      </c>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row>
    <row r="28" spans="1:47" s="538" customFormat="1" ht="11.5" outlineLevel="2" x14ac:dyDescent="0.25">
      <c r="A28" s="581"/>
      <c r="B28" s="582"/>
      <c r="C28" s="538" t="s">
        <v>653</v>
      </c>
      <c r="D28" s="578">
        <v>0</v>
      </c>
      <c r="E28" s="578">
        <f>VLOOKUP(E2,'Short-Lived Assets Hauling'!$A$8:$C$50,3,FALSE)</f>
        <v>32978.055593561548</v>
      </c>
      <c r="F28" s="578">
        <f>VLOOKUP(F2,'Short-Lived Assets Hauling'!$A$8:$C$50,3,FALSE)</f>
        <v>215658.90589041484</v>
      </c>
      <c r="G28" s="578">
        <f>VLOOKUP(G2,'Short-Lived Assets Hauling'!$A$8:$C$50,3,FALSE)</f>
        <v>262542.19196923333</v>
      </c>
      <c r="H28" s="578">
        <f>VLOOKUP(H2,'Short-Lived Assets Hauling'!$A$8:$C$50,3,FALSE)</f>
        <v>293934.44450108689</v>
      </c>
      <c r="I28" s="578">
        <f>VLOOKUP(I2,'Short-Lived Assets Hauling'!$A$8:$C$50,3,FALSE)</f>
        <v>301178.01243126846</v>
      </c>
      <c r="J28" s="578">
        <f>VLOOKUP(J2,'Short-Lived Assets Hauling'!$A$8:$C$50,3,FALSE)</f>
        <v>308623.35904685647</v>
      </c>
      <c r="K28" s="578">
        <f>VLOOKUP(K2,'Short-Lived Assets Hauling'!$A$8:$C$50,3,FALSE)</f>
        <v>345603.72860844107</v>
      </c>
      <c r="L28" s="578">
        <f>VLOOKUP(L2,'Short-Lived Assets Hauling'!$A$8:$C$50,3,FALSE)</f>
        <v>354199.92471775663</v>
      </c>
      <c r="M28" s="578">
        <f>VLOOKUP(M2,'Short-Lived Assets Hauling'!$A$8:$C$50,3,FALSE)</f>
        <v>363036.48990012798</v>
      </c>
      <c r="N28" s="578">
        <f>VLOOKUP(N2,'Short-Lived Assets Hauling'!$A$8:$C$50,3,FALSE)</f>
        <v>406626.06764350663</v>
      </c>
      <c r="O28" s="578">
        <f>VLOOKUP(O2,'Short-Lived Assets Hauling'!$A$8:$C$50,3,FALSE)</f>
        <v>416830.61445090582</v>
      </c>
      <c r="P28" s="578">
        <f>VLOOKUP(P2,'Short-Lived Assets Hauling'!$A$8:$C$50,3,FALSE)</f>
        <v>427321.56787528191</v>
      </c>
      <c r="Q28" s="578">
        <f>VLOOKUP(Q2,'Short-Lived Assets Hauling'!$A$8:$C$50,3,FALSE)</f>
        <v>478731.70551761385</v>
      </c>
      <c r="R28" s="578">
        <f>VLOOKUP(R2,'Short-Lived Assets Hauling'!$A$8:$C$50,3,FALSE)</f>
        <v>490849.1947380724</v>
      </c>
      <c r="S28" s="578">
        <f>VLOOKUP(S2,'Short-Lived Assets Hauling'!$A$8:$C$50,3,FALSE)</f>
        <v>503308.02498631034</v>
      </c>
      <c r="T28" s="578">
        <f>VLOOKUP(T2,'Short-Lived Assets Hauling'!$A$8:$C$50,3,FALSE)</f>
        <v>563976.32946757216</v>
      </c>
      <c r="U28" s="578">
        <f>VLOOKUP(U2,'Short-Lived Assets Hauling'!$A$8:$C$50,3,FALSE)</f>
        <v>578369.65299077344</v>
      </c>
      <c r="V28" s="578">
        <f>VLOOKUP(V2,'Short-Lived Assets Hauling'!$A$8:$C$50,3,FALSE)</f>
        <v>593169.88313166983</v>
      </c>
      <c r="W28" s="578">
        <f>VLOOKUP(W2,'Short-Lived Assets Hauling'!$A$8:$C$50,3,FALSE)</f>
        <v>664803.10653743416</v>
      </c>
      <c r="X28" s="578">
        <f>VLOOKUP(X2,'Short-Lived Assets Hauling'!$A$8:$C$50,3,FALSE)</f>
        <v>681904.72420015186</v>
      </c>
      <c r="Y28" s="578">
        <f>VLOOKUP(Y2,'Short-Lived Assets Hauling'!$A$8:$C$50,3,FALSE)</f>
        <v>699491.5204923033</v>
      </c>
      <c r="Z28" s="578">
        <f>VLOOKUP(Z2,'Short-Lived Assets Hauling'!$A$8:$C$50,3,FALSE)</f>
        <v>530813.7928169521</v>
      </c>
      <c r="AA28" s="578">
        <f>VLOOKUP(AA2,'Short-Lived Assets Hauling'!$A$8:$C$50,3,FALSE)</f>
        <v>544573.23142464785</v>
      </c>
      <c r="AB28" s="578">
        <f>VLOOKUP(AB2,'Short-Lived Assets Hauling'!$A$8:$C$50,3,FALSE)</f>
        <v>558724.38535466639</v>
      </c>
      <c r="AC28" s="578">
        <f>VLOOKUP(AC2,'Short-Lived Assets Hauling'!$A$8:$C$50,3,FALSE)</f>
        <v>626437.29653172288</v>
      </c>
      <c r="AD28" s="578">
        <f>VLOOKUP(AD2,'Short-Lived Assets Hauling'!$A$8:$C$50,3,FALSE)</f>
        <v>642795.17576153728</v>
      </c>
      <c r="AE28" s="578">
        <f>VLOOKUP(AE2,'Short-Lived Assets Hauling'!$A$8:$C$50,3,FALSE)</f>
        <v>659620.33613409696</v>
      </c>
      <c r="AF28" s="578">
        <f>VLOOKUP(AF2,'Short-Lived Assets Hauling'!$A$8:$C$50,3,FALSE)</f>
        <v>739696.04629412852</v>
      </c>
      <c r="AG28" s="578">
        <f>VLOOKUP(AG2,'Short-Lived Assets Hauling'!$A$8:$C$50,3,FALSE)</f>
        <v>759148.57229059713</v>
      </c>
      <c r="AH28" s="578">
        <f>VLOOKUP(AH2,'Short-Lived Assets Hauling'!$A$8:$C$50,3,FALSE)</f>
        <v>779158.65118293196</v>
      </c>
      <c r="AI28" s="578">
        <f>VLOOKUP(AI2,'Short-Lived Assets Hauling'!$A$8:$C$50,3,FALSE)</f>
        <v>873900.6597465541</v>
      </c>
      <c r="AJ28" s="578">
        <f>VLOOKUP(AJ2,'Short-Lived Assets Hauling'!$A$8:$C$50,3,FALSE)</f>
        <v>616715.92485797603</v>
      </c>
      <c r="AK28" s="578">
        <f>VLOOKUP(AK2,'Short-Lived Assets Hauling'!$A$8:$C$50,3,FALSE)</f>
        <v>633081.55283724715</v>
      </c>
      <c r="AL28" s="578">
        <f>VLOOKUP(AL2,'Short-Lived Assets Hauling'!$A$8:$C$50,3,FALSE)</f>
        <v>710183.30271490652</v>
      </c>
      <c r="AM28" s="578">
        <f>VLOOKUP(AM2,'Short-Lived Assets Hauling'!$A$8:$C$50,3,FALSE)</f>
        <v>729111.53045071696</v>
      </c>
      <c r="AN28" s="578">
        <f>VLOOKUP(AN2,'Short-Lived Assets Hauling'!$A$8:$C$50,3,FALSE)</f>
        <v>748585.86147977784</v>
      </c>
      <c r="AO28" s="578">
        <f>VLOOKUP(AO2,'Short-Lived Assets Hauling'!$A$8:$C$50,3,FALSE)</f>
        <v>839894.73070548975</v>
      </c>
      <c r="AP28" s="578">
        <f>VLOOKUP(AP2,'Short-Lived Assets Hauling'!$A$8:$C$50,3,FALSE)</f>
        <v>862422.53016644681</v>
      </c>
      <c r="AQ28" s="578">
        <f>VLOOKUP(AQ2,'Short-Lived Assets Hauling'!$A$8:$C$50,3,FALSE)</f>
        <v>885602.38098638342</v>
      </c>
      <c r="AR28" s="578">
        <f>VLOOKUP(AR2,'Short-Lived Assets Hauling'!$A$8:$C$50,3,FALSE)</f>
        <v>993784.79946633766</v>
      </c>
      <c r="AS28" s="578">
        <f>VLOOKUP(AS2,'Short-Lived Assets Hauling'!$A$8:$C$50,3,FALSE)</f>
        <v>1010478.7445513087</v>
      </c>
      <c r="AT28" s="578">
        <f>VLOOKUP(AT2,'Short-Lived Assets Hauling'!$A$8:$C$50,3,FALSE)</f>
        <v>0</v>
      </c>
      <c r="AU28" s="578">
        <f>VLOOKUP(AU2,'Short-Lived Assets Hauling'!$A$8:$C$50,3,FALSE)</f>
        <v>0</v>
      </c>
    </row>
    <row r="29" spans="1:47" s="538" customFormat="1" ht="11.5" outlineLevel="2" x14ac:dyDescent="0.25">
      <c r="A29" s="581"/>
      <c r="B29" s="582"/>
      <c r="C29" s="585" t="s">
        <v>29</v>
      </c>
      <c r="D29" s="586">
        <f t="shared" ref="D29:AU29" si="13">SUM(D28)</f>
        <v>0</v>
      </c>
      <c r="E29" s="586">
        <f t="shared" si="13"/>
        <v>32978.055593561548</v>
      </c>
      <c r="F29" s="586">
        <f t="shared" si="13"/>
        <v>215658.90589041484</v>
      </c>
      <c r="G29" s="586">
        <f t="shared" si="13"/>
        <v>262542.19196923333</v>
      </c>
      <c r="H29" s="586">
        <f t="shared" si="13"/>
        <v>293934.44450108689</v>
      </c>
      <c r="I29" s="586">
        <f t="shared" si="13"/>
        <v>301178.01243126846</v>
      </c>
      <c r="J29" s="586">
        <f t="shared" si="13"/>
        <v>308623.35904685647</v>
      </c>
      <c r="K29" s="586">
        <f t="shared" si="13"/>
        <v>345603.72860844107</v>
      </c>
      <c r="L29" s="586">
        <f t="shared" si="13"/>
        <v>354199.92471775663</v>
      </c>
      <c r="M29" s="586">
        <f t="shared" si="13"/>
        <v>363036.48990012798</v>
      </c>
      <c r="N29" s="586">
        <f t="shared" si="13"/>
        <v>406626.06764350663</v>
      </c>
      <c r="O29" s="586">
        <f t="shared" si="13"/>
        <v>416830.61445090582</v>
      </c>
      <c r="P29" s="586">
        <f t="shared" si="13"/>
        <v>427321.56787528191</v>
      </c>
      <c r="Q29" s="586">
        <f t="shared" si="13"/>
        <v>478731.70551761385</v>
      </c>
      <c r="R29" s="586">
        <f t="shared" si="13"/>
        <v>490849.1947380724</v>
      </c>
      <c r="S29" s="586">
        <f t="shared" si="13"/>
        <v>503308.02498631034</v>
      </c>
      <c r="T29" s="586">
        <f t="shared" si="13"/>
        <v>563976.32946757216</v>
      </c>
      <c r="U29" s="586">
        <f t="shared" si="13"/>
        <v>578369.65299077344</v>
      </c>
      <c r="V29" s="586">
        <f t="shared" si="13"/>
        <v>593169.88313166983</v>
      </c>
      <c r="W29" s="586">
        <f t="shared" si="13"/>
        <v>664803.10653743416</v>
      </c>
      <c r="X29" s="586">
        <f t="shared" si="13"/>
        <v>681904.72420015186</v>
      </c>
      <c r="Y29" s="586">
        <f t="shared" si="13"/>
        <v>699491.5204923033</v>
      </c>
      <c r="Z29" s="586">
        <f t="shared" si="13"/>
        <v>530813.7928169521</v>
      </c>
      <c r="AA29" s="586">
        <f t="shared" si="13"/>
        <v>544573.23142464785</v>
      </c>
      <c r="AB29" s="586">
        <f t="shared" si="13"/>
        <v>558724.38535466639</v>
      </c>
      <c r="AC29" s="586">
        <f t="shared" si="13"/>
        <v>626437.29653172288</v>
      </c>
      <c r="AD29" s="586">
        <f t="shared" si="13"/>
        <v>642795.17576153728</v>
      </c>
      <c r="AE29" s="586">
        <f t="shared" si="13"/>
        <v>659620.33613409696</v>
      </c>
      <c r="AF29" s="586">
        <f t="shared" si="13"/>
        <v>739696.04629412852</v>
      </c>
      <c r="AG29" s="586">
        <f t="shared" si="13"/>
        <v>759148.57229059713</v>
      </c>
      <c r="AH29" s="586">
        <f t="shared" si="13"/>
        <v>779158.65118293196</v>
      </c>
      <c r="AI29" s="586">
        <f t="shared" si="13"/>
        <v>873900.6597465541</v>
      </c>
      <c r="AJ29" s="586">
        <f t="shared" si="13"/>
        <v>616715.92485797603</v>
      </c>
      <c r="AK29" s="586">
        <f t="shared" si="13"/>
        <v>633081.55283724715</v>
      </c>
      <c r="AL29" s="586">
        <f t="shared" si="13"/>
        <v>710183.30271490652</v>
      </c>
      <c r="AM29" s="586">
        <f t="shared" si="13"/>
        <v>729111.53045071696</v>
      </c>
      <c r="AN29" s="586">
        <f t="shared" si="13"/>
        <v>748585.86147977784</v>
      </c>
      <c r="AO29" s="586">
        <f t="shared" si="13"/>
        <v>839894.73070548975</v>
      </c>
      <c r="AP29" s="586">
        <f t="shared" si="13"/>
        <v>862422.53016644681</v>
      </c>
      <c r="AQ29" s="586">
        <f t="shared" si="13"/>
        <v>885602.38098638342</v>
      </c>
      <c r="AR29" s="586">
        <f t="shared" si="13"/>
        <v>993784.79946633766</v>
      </c>
      <c r="AS29" s="586">
        <f t="shared" si="13"/>
        <v>1010478.7445513087</v>
      </c>
      <c r="AT29" s="586">
        <f t="shared" si="13"/>
        <v>0</v>
      </c>
      <c r="AU29" s="586">
        <f t="shared" si="13"/>
        <v>0</v>
      </c>
    </row>
    <row r="30" spans="1:47" s="7" customFormat="1" ht="13" outlineLevel="1" x14ac:dyDescent="0.3">
      <c r="A30" s="26"/>
      <c r="B30" s="27"/>
      <c r="C30" s="28" t="s">
        <v>38</v>
      </c>
      <c r="D30" s="29">
        <f>SUM(D17,D22,D29)</f>
        <v>0</v>
      </c>
      <c r="E30" s="29">
        <f>SUM(E17,E22,E26,E29)</f>
        <v>114550.53386025981</v>
      </c>
      <c r="F30" s="29">
        <f t="shared" ref="F30:AU30" si="14">SUM(F17,F22,F26,F29)</f>
        <v>723177.82992584386</v>
      </c>
      <c r="G30" s="29">
        <f t="shared" si="14"/>
        <v>834217.31938067451</v>
      </c>
      <c r="H30" s="29">
        <f t="shared" si="14"/>
        <v>881251.57340254635</v>
      </c>
      <c r="I30" s="29">
        <f t="shared" si="14"/>
        <v>904627.56252766668</v>
      </c>
      <c r="J30" s="29">
        <f t="shared" si="14"/>
        <v>928714.60256778263</v>
      </c>
      <c r="K30" s="29">
        <f t="shared" si="14"/>
        <v>982850.79473840492</v>
      </c>
      <c r="L30" s="29">
        <f t="shared" si="14"/>
        <v>1009126.8466054411</v>
      </c>
      <c r="M30" s="29">
        <f t="shared" si="14"/>
        <v>1036177.5017773153</v>
      </c>
      <c r="N30" s="29">
        <f t="shared" si="14"/>
        <v>1098468.8083262425</v>
      </c>
      <c r="O30" s="29">
        <f t="shared" si="14"/>
        <v>1127930.6476156237</v>
      </c>
      <c r="P30" s="29">
        <f t="shared" si="14"/>
        <v>1158245.6041973461</v>
      </c>
      <c r="Q30" s="29">
        <f t="shared" si="14"/>
        <v>1230178.4868696472</v>
      </c>
      <c r="R30" s="29">
        <f t="shared" si="14"/>
        <v>1263351.6365241772</v>
      </c>
      <c r="S30" s="29">
        <f t="shared" si="14"/>
        <v>1297468.3257686177</v>
      </c>
      <c r="T30" s="29">
        <f t="shared" si="14"/>
        <v>1380472.6811107467</v>
      </c>
      <c r="U30" s="29">
        <f t="shared" si="14"/>
        <v>1417829.7225293159</v>
      </c>
      <c r="V30" s="29">
        <f t="shared" si="14"/>
        <v>1456298.0949567854</v>
      </c>
      <c r="W30" s="29">
        <f t="shared" si="14"/>
        <v>1552374.6969743189</v>
      </c>
      <c r="X30" s="29">
        <f t="shared" si="14"/>
        <v>1594531.3979390597</v>
      </c>
      <c r="Y30" s="29">
        <f t="shared" si="14"/>
        <v>1637977.1788484594</v>
      </c>
      <c r="Z30" s="29">
        <f t="shared" si="14"/>
        <v>1496045.523541335</v>
      </c>
      <c r="AA30" s="29">
        <f t="shared" si="14"/>
        <v>1537260.038187769</v>
      </c>
      <c r="AB30" s="29">
        <f t="shared" si="14"/>
        <v>1579602.2680520997</v>
      </c>
      <c r="AC30" s="29">
        <f t="shared" si="14"/>
        <v>1676372.8298654323</v>
      </c>
      <c r="AD30" s="29">
        <f t="shared" si="14"/>
        <v>1722735.2425265643</v>
      </c>
      <c r="AE30" s="29">
        <f t="shared" si="14"/>
        <v>1770408.6359982518</v>
      </c>
      <c r="AF30" s="29">
        <f t="shared" si="14"/>
        <v>1882314.7163745428</v>
      </c>
      <c r="AG30" s="29">
        <f t="shared" si="14"/>
        <v>1934539.4852824383</v>
      </c>
      <c r="AH30" s="29">
        <f t="shared" si="14"/>
        <v>1988279.4844380305</v>
      </c>
      <c r="AI30" s="29">
        <f t="shared" si="14"/>
        <v>2117790.4980224459</v>
      </c>
      <c r="AJ30" s="29">
        <f t="shared" si="14"/>
        <v>1896313.4358438402</v>
      </c>
      <c r="AK30" s="29">
        <f t="shared" si="14"/>
        <v>1949587.2405005838</v>
      </c>
      <c r="AL30" s="29">
        <f t="shared" si="14"/>
        <v>2064703.2385817845</v>
      </c>
      <c r="AM30" s="29">
        <f t="shared" si="14"/>
        <v>2122707.1659940532</v>
      </c>
      <c r="AN30" s="29">
        <f t="shared" si="14"/>
        <v>2182523.7185901855</v>
      </c>
      <c r="AO30" s="29">
        <f t="shared" si="14"/>
        <v>2315287.0182942399</v>
      </c>
      <c r="AP30" s="29">
        <f t="shared" si="14"/>
        <v>2380645.0100606564</v>
      </c>
      <c r="AQ30" s="29">
        <f t="shared" si="14"/>
        <v>2447874.7510368028</v>
      </c>
      <c r="AR30" s="29">
        <f t="shared" si="14"/>
        <v>2601350.6748696477</v>
      </c>
      <c r="AS30" s="29">
        <f t="shared" si="14"/>
        <v>2664853.8672583615</v>
      </c>
      <c r="AT30" s="29">
        <f t="shared" si="14"/>
        <v>1702482.8967142524</v>
      </c>
      <c r="AU30" s="29">
        <f t="shared" si="14"/>
        <v>1752036.0294247782</v>
      </c>
    </row>
    <row r="31" spans="1:47" s="7" customFormat="1" ht="13" outlineLevel="1" x14ac:dyDescent="0.3">
      <c r="A31" s="647" t="s">
        <v>22</v>
      </c>
      <c r="B31" s="648"/>
      <c r="C31" s="648"/>
      <c r="D31" s="649">
        <f t="shared" ref="D31:AU31" si="15">IF(AND(SUM(D13,-D30)&lt;0.01,SUM(D13,-D30)&gt;-0.01),0,SUM(D13,-D30))</f>
        <v>0</v>
      </c>
      <c r="E31" s="649">
        <f t="shared" si="15"/>
        <v>0</v>
      </c>
      <c r="F31" s="649">
        <f t="shared" si="15"/>
        <v>0</v>
      </c>
      <c r="G31" s="649">
        <f t="shared" si="15"/>
        <v>0</v>
      </c>
      <c r="H31" s="649">
        <f t="shared" si="15"/>
        <v>0</v>
      </c>
      <c r="I31" s="649">
        <f t="shared" si="15"/>
        <v>0</v>
      </c>
      <c r="J31" s="649">
        <f t="shared" si="15"/>
        <v>0</v>
      </c>
      <c r="K31" s="649">
        <f t="shared" si="15"/>
        <v>0</v>
      </c>
      <c r="L31" s="649">
        <f t="shared" si="15"/>
        <v>0</v>
      </c>
      <c r="M31" s="649">
        <f t="shared" si="15"/>
        <v>0</v>
      </c>
      <c r="N31" s="649">
        <f t="shared" si="15"/>
        <v>0</v>
      </c>
      <c r="O31" s="649">
        <f t="shared" si="15"/>
        <v>0</v>
      </c>
      <c r="P31" s="649">
        <f t="shared" si="15"/>
        <v>0</v>
      </c>
      <c r="Q31" s="649">
        <f t="shared" si="15"/>
        <v>0</v>
      </c>
      <c r="R31" s="649">
        <f t="shared" si="15"/>
        <v>0</v>
      </c>
      <c r="S31" s="649">
        <f t="shared" si="15"/>
        <v>0</v>
      </c>
      <c r="T31" s="649">
        <f t="shared" si="15"/>
        <v>0</v>
      </c>
      <c r="U31" s="649">
        <f t="shared" si="15"/>
        <v>0</v>
      </c>
      <c r="V31" s="649">
        <f t="shared" si="15"/>
        <v>0</v>
      </c>
      <c r="W31" s="649">
        <f t="shared" si="15"/>
        <v>0</v>
      </c>
      <c r="X31" s="649">
        <f t="shared" si="15"/>
        <v>0</v>
      </c>
      <c r="Y31" s="649">
        <f t="shared" si="15"/>
        <v>0</v>
      </c>
      <c r="Z31" s="649">
        <f t="shared" si="15"/>
        <v>0</v>
      </c>
      <c r="AA31" s="649">
        <f t="shared" si="15"/>
        <v>0</v>
      </c>
      <c r="AB31" s="649">
        <f t="shared" si="15"/>
        <v>0</v>
      </c>
      <c r="AC31" s="649">
        <f t="shared" si="15"/>
        <v>0</v>
      </c>
      <c r="AD31" s="649">
        <f t="shared" si="15"/>
        <v>0</v>
      </c>
      <c r="AE31" s="649">
        <f t="shared" si="15"/>
        <v>0</v>
      </c>
      <c r="AF31" s="649">
        <f t="shared" si="15"/>
        <v>0</v>
      </c>
      <c r="AG31" s="649">
        <f t="shared" si="15"/>
        <v>0</v>
      </c>
      <c r="AH31" s="649">
        <f t="shared" si="15"/>
        <v>0</v>
      </c>
      <c r="AI31" s="649">
        <f t="shared" si="15"/>
        <v>0</v>
      </c>
      <c r="AJ31" s="649">
        <f t="shared" si="15"/>
        <v>0</v>
      </c>
      <c r="AK31" s="649">
        <f t="shared" si="15"/>
        <v>0</v>
      </c>
      <c r="AL31" s="649">
        <f t="shared" si="15"/>
        <v>0</v>
      </c>
      <c r="AM31" s="649">
        <f t="shared" si="15"/>
        <v>0</v>
      </c>
      <c r="AN31" s="649">
        <f t="shared" si="15"/>
        <v>0</v>
      </c>
      <c r="AO31" s="649">
        <f t="shared" si="15"/>
        <v>0</v>
      </c>
      <c r="AP31" s="649">
        <f t="shared" si="15"/>
        <v>0</v>
      </c>
      <c r="AQ31" s="649">
        <f t="shared" si="15"/>
        <v>0</v>
      </c>
      <c r="AR31" s="649">
        <f t="shared" si="15"/>
        <v>0</v>
      </c>
      <c r="AS31" s="649">
        <f t="shared" si="15"/>
        <v>0</v>
      </c>
      <c r="AT31" s="649">
        <f t="shared" si="15"/>
        <v>0</v>
      </c>
      <c r="AU31" s="649">
        <f t="shared" si="15"/>
        <v>0</v>
      </c>
    </row>
    <row r="32" spans="1:47" s="591" customFormat="1" ht="11.5" outlineLevel="1" x14ac:dyDescent="0.25">
      <c r="A32" s="580" t="s">
        <v>419</v>
      </c>
      <c r="B32" s="538"/>
      <c r="C32" s="538"/>
      <c r="D32" s="589"/>
      <c r="E32" s="590"/>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89"/>
      <c r="AP32" s="589"/>
      <c r="AQ32" s="589"/>
      <c r="AR32" s="589"/>
      <c r="AS32" s="589"/>
      <c r="AT32" s="589"/>
      <c r="AU32" s="589"/>
    </row>
    <row r="33" spans="1:47" s="538" customFormat="1" ht="11.5" x14ac:dyDescent="0.25">
      <c r="C33" s="538" t="s">
        <v>50</v>
      </c>
      <c r="D33" s="611"/>
      <c r="E33" s="611">
        <f>VLOOKUP(E2,Tons!$B$10:$H$130,2,FALSE)*(2/12)</f>
        <v>5887.15983596345</v>
      </c>
      <c r="F33" s="611">
        <f>VLOOKUP(F2,Tons!$B$10:$H$130,2,FALSE)</f>
        <v>36216.629878879961</v>
      </c>
      <c r="G33" s="611">
        <f>VLOOKUP(G2,Tons!$B$10:$H$130,2,FALSE)</f>
        <v>37132.910614815628</v>
      </c>
      <c r="H33" s="611">
        <f>VLOOKUP(H2,Tons!$B$10:$H$130,2,FALSE)</f>
        <v>38072.373253370468</v>
      </c>
      <c r="I33" s="611">
        <f>VLOOKUP(I2,Tons!$B$10:$H$130,2,FALSE)</f>
        <v>39035.604296680744</v>
      </c>
      <c r="J33" s="611">
        <f>VLOOKUP(J2,Tons!$B$10:$H$130,2,FALSE)</f>
        <v>40023.205085386769</v>
      </c>
      <c r="K33" s="611">
        <f>VLOOKUP(K2,Tons!$B$10:$H$130,2,FALSE)</f>
        <v>41035.792174047056</v>
      </c>
      <c r="L33" s="611">
        <f>VLOOKUP(L2,Tons!$B$10:$H$130,2,FALSE)</f>
        <v>42073.99771605045</v>
      </c>
      <c r="M33" s="611">
        <f>VLOOKUP(M2,Tons!$B$10:$H$130,2,FALSE)</f>
        <v>43138.46985826653</v>
      </c>
      <c r="N33" s="611">
        <f>VLOOKUP(N2,Tons!$B$10:$H$130,2,FALSE)</f>
        <v>44229.873145680678</v>
      </c>
      <c r="O33" s="611">
        <f>VLOOKUP(O2,Tons!$B$10:$H$130,2,FALSE)</f>
        <v>45348.888936266405</v>
      </c>
      <c r="P33" s="611">
        <f>VLOOKUP(P2,Tons!$B$10:$H$130,2,FALSE)</f>
        <v>46496.215826353946</v>
      </c>
      <c r="Q33" s="611">
        <f>VLOOKUP(Q2,Tons!$B$10:$H$130,2,FALSE)</f>
        <v>47672.570086760708</v>
      </c>
      <c r="R33" s="611">
        <f>VLOOKUP(R2,Tons!$B$10:$H$130,2,FALSE)</f>
        <v>48878.686109955757</v>
      </c>
      <c r="S33" s="611">
        <f>VLOOKUP(S2,Tons!$B$10:$H$130,2,FALSE)</f>
        <v>50115.316868537644</v>
      </c>
      <c r="T33" s="611">
        <f>VLOOKUP(T2,Tons!$B$10:$H$130,2,FALSE)</f>
        <v>51383.234385311654</v>
      </c>
      <c r="U33" s="611">
        <f>VLOOKUP(U2,Tons!$B$10:$H$130,2,FALSE)</f>
        <v>52683.230215260046</v>
      </c>
      <c r="V33" s="611">
        <f>VLOOKUP(V2,Tons!$B$10:$H$130,2,FALSE)</f>
        <v>54016.115939706127</v>
      </c>
      <c r="W33" s="611">
        <f>VLOOKUP(W2,Tons!$B$10:$H$130,2,FALSE)</f>
        <v>55382.723672980697</v>
      </c>
      <c r="X33" s="611">
        <f>VLOOKUP(X2,Tons!$B$10:$H$130,2,FALSE)</f>
        <v>56783.906581907111</v>
      </c>
      <c r="Y33" s="611">
        <f>VLOOKUP(Y2,Tons!$B$10:$H$130,2,FALSE)</f>
        <v>58220.539418429369</v>
      </c>
      <c r="Z33" s="611">
        <f>VLOOKUP(Z2,Tons!$B$10:$H$130,2,FALSE)</f>
        <v>59693.519065715634</v>
      </c>
      <c r="AA33" s="611">
        <f>VLOOKUP(AA2,Tons!$B$10:$H$130,2,FALSE)</f>
        <v>61203.765098078249</v>
      </c>
      <c r="AB33" s="611">
        <f>VLOOKUP(AB2,Tons!$B$10:$H$130,2,FALSE)</f>
        <v>62752.220355059631</v>
      </c>
      <c r="AC33" s="611">
        <f>VLOOKUP(AC2,Tons!$B$10:$H$130,2,FALSE)</f>
        <v>64339.851530042644</v>
      </c>
      <c r="AD33" s="611">
        <f>VLOOKUP(AD2,Tons!$B$10:$H$130,2,FALSE)</f>
        <v>65967.649773752724</v>
      </c>
      <c r="AE33" s="611">
        <f>VLOOKUP(AE2,Tons!$B$10:$H$130,2,FALSE)</f>
        <v>67636.631313028673</v>
      </c>
      <c r="AF33" s="611">
        <f>VLOOKUP(AF2,Tons!$B$10:$H$130,2,FALSE)</f>
        <v>69347.83808524831</v>
      </c>
      <c r="AG33" s="611">
        <f>VLOOKUP(AG2,Tons!$B$10:$H$130,2,FALSE)</f>
        <v>71102.338388805103</v>
      </c>
      <c r="AH33" s="611">
        <f>VLOOKUP(AH2,Tons!$B$10:$H$130,2,FALSE)</f>
        <v>72901.227550041876</v>
      </c>
      <c r="AI33" s="611">
        <f>VLOOKUP(AI2,Tons!$B$10:$H$130,2,FALSE)</f>
        <v>74745.628607057937</v>
      </c>
      <c r="AJ33" s="611">
        <f>VLOOKUP(AJ2,Tons!$B$10:$H$130,2,FALSE)</f>
        <v>76636.693010816511</v>
      </c>
      <c r="AK33" s="611">
        <f>VLOOKUP(AK2,Tons!$B$10:$H$130,2,FALSE)</f>
        <v>78575.601343990173</v>
      </c>
      <c r="AL33" s="611">
        <f>VLOOKUP(AL2,Tons!$B$10:$H$130,2,FALSE)</f>
        <v>80563.564057993135</v>
      </c>
      <c r="AM33" s="611">
        <f>VLOOKUP(AM2,Tons!$B$10:$H$130,2,FALSE)</f>
        <v>82601.82222866037</v>
      </c>
      <c r="AN33" s="611">
        <f>VLOOKUP(AN2,Tons!$B$10:$H$130,2,FALSE)</f>
        <v>84691.648331045493</v>
      </c>
      <c r="AO33" s="611">
        <f>VLOOKUP(AO2,Tons!$B$10:$H$130,2,FALSE)</f>
        <v>86834.347033820959</v>
      </c>
      <c r="AP33" s="611">
        <f>VLOOKUP(AP2,Tons!$B$10:$H$130,2,FALSE)</f>
        <v>89031.256013776641</v>
      </c>
      <c r="AQ33" s="611">
        <f>VLOOKUP(AQ2,Tons!$B$10:$H$130,2,FALSE)</f>
        <v>91283.746790925201</v>
      </c>
      <c r="AR33" s="611">
        <f>VLOOKUP(AR2,Tons!$B$10:$H$130,2,FALSE)</f>
        <v>93593.225584735614</v>
      </c>
      <c r="AS33" s="611">
        <f>VLOOKUP(AS2,Tons!$B$10:$H$130,2,FALSE)</f>
        <v>95961.134192029436</v>
      </c>
      <c r="AT33" s="611">
        <f>VLOOKUP(AT2,Tons!$B$10:$H$130,2,FALSE)</f>
        <v>98388.950887087791</v>
      </c>
      <c r="AU33" s="611">
        <f>VLOOKUP(AU2,Tons!$B$10:$H$130,2,FALSE)</f>
        <v>100878.19134453112</v>
      </c>
    </row>
    <row r="34" spans="1:47" s="538" customFormat="1" ht="11.5" x14ac:dyDescent="0.25">
      <c r="C34" s="538" t="s">
        <v>51</v>
      </c>
      <c r="D34" s="611"/>
      <c r="E34" s="611">
        <f>VLOOKUP(E2,Tons!$B$10:$H$130,3,FALSE)*(2/12)</f>
        <v>1277.3832619804793</v>
      </c>
      <c r="F34" s="611">
        <f>VLOOKUP(F2,Tons!$B$10:$H$130,3,FALSE)</f>
        <v>7705.6867895710438</v>
      </c>
      <c r="G34" s="611">
        <f>VLOOKUP(G2,Tons!$B$10:$H$130,3,FALSE)</f>
        <v>7747.2974982347278</v>
      </c>
      <c r="H34" s="611">
        <f>VLOOKUP(H2,Tons!$B$10:$H$130,3,FALSE)</f>
        <v>7789.1329047251957</v>
      </c>
      <c r="I34" s="611">
        <f>VLOOKUP(I2,Tons!$B$10:$H$130,3,FALSE)</f>
        <v>7831.1942224107124</v>
      </c>
      <c r="J34" s="611">
        <f>VLOOKUP(J2,Tons!$B$10:$H$130,3,FALSE)</f>
        <v>7873.482671211731</v>
      </c>
      <c r="K34" s="611">
        <f>VLOOKUP(K2,Tons!$B$10:$H$130,3,FALSE)</f>
        <v>7915.9994776362746</v>
      </c>
      <c r="L34" s="611">
        <f>VLOOKUP(L2,Tons!$B$10:$H$130,3,FALSE)</f>
        <v>7958.7458748155113</v>
      </c>
      <c r="M34" s="611">
        <f>VLOOKUP(M2,Tons!$B$10:$H$130,3,FALSE)</f>
        <v>8001.7231025395158</v>
      </c>
      <c r="N34" s="611">
        <f>VLOOKUP(N2,Tons!$B$10:$H$130,3,FALSE)</f>
        <v>8044.9324072932295</v>
      </c>
      <c r="O34" s="611">
        <f>VLOOKUP(O2,Tons!$B$10:$H$130,3,FALSE)</f>
        <v>8088.3750422926132</v>
      </c>
      <c r="P34" s="611">
        <f>VLOOKUP(P2,Tons!$B$10:$H$130,3,FALSE)</f>
        <v>8132.0522675209941</v>
      </c>
      <c r="Q34" s="611">
        <f>VLOOKUP(Q2,Tons!$B$10:$H$130,3,FALSE)</f>
        <v>8175.9653497656082</v>
      </c>
      <c r="R34" s="611">
        <f>VLOOKUP(R2,Tons!$B$10:$H$130,3,FALSE)</f>
        <v>8220.1155626543423</v>
      </c>
      <c r="S34" s="611">
        <f>VLOOKUP(S2,Tons!$B$10:$H$130,3,FALSE)</f>
        <v>8264.5041866926767</v>
      </c>
      <c r="T34" s="611">
        <f>VLOOKUP(T2,Tons!$B$10:$H$130,3,FALSE)</f>
        <v>8309.1325093008181</v>
      </c>
      <c r="U34" s="611">
        <f>VLOOKUP(U2,Tons!$B$10:$H$130,3,FALSE)</f>
        <v>8354.0018248510423</v>
      </c>
      <c r="V34" s="611">
        <f>VLOOKUP(V2,Tons!$B$10:$H$130,3,FALSE)</f>
        <v>8399.1134347052393</v>
      </c>
      <c r="W34" s="611">
        <f>VLOOKUP(W2,Tons!$B$10:$H$130,3,FALSE)</f>
        <v>8444.4686472526482</v>
      </c>
      <c r="X34" s="611">
        <f>VLOOKUP(X2,Tons!$B$10:$H$130,3,FALSE)</f>
        <v>8490.0687779478139</v>
      </c>
      <c r="Y34" s="611">
        <f>VLOOKUP(Y2,Tons!$B$10:$H$130,3,FALSE)</f>
        <v>8535.9151493487334</v>
      </c>
      <c r="Z34" s="611">
        <f>VLOOKUP(Z2,Tons!$B$10:$H$130,3,FALSE)</f>
        <v>8582.0090911552179</v>
      </c>
      <c r="AA34" s="611">
        <f>VLOOKUP(AA2,Tons!$B$10:$H$130,3,FALSE)</f>
        <v>8628.3519402474558</v>
      </c>
      <c r="AB34" s="611">
        <f>VLOOKUP(AB2,Tons!$B$10:$H$130,3,FALSE)</f>
        <v>8674.9450407247932</v>
      </c>
      <c r="AC34" s="611">
        <f>VLOOKUP(AC2,Tons!$B$10:$H$130,3,FALSE)</f>
        <v>8721.7897439447079</v>
      </c>
      <c r="AD34" s="611">
        <f>VLOOKUP(AD2,Tons!$B$10:$H$130,3,FALSE)</f>
        <v>8768.88740856201</v>
      </c>
      <c r="AE34" s="611">
        <f>VLOOKUP(AE2,Tons!$B$10:$H$130,3,FALSE)</f>
        <v>8816.2394005682454</v>
      </c>
      <c r="AF34" s="611">
        <f>VLOOKUP(AF2,Tons!$B$10:$H$130,3,FALSE)</f>
        <v>8863.8470933313147</v>
      </c>
      <c r="AG34" s="611">
        <f>VLOOKUP(AG2,Tons!$B$10:$H$130,3,FALSE)</f>
        <v>8911.7118676353039</v>
      </c>
      <c r="AH34" s="611">
        <f>VLOOKUP(AH2,Tons!$B$10:$H$130,3,FALSE)</f>
        <v>8959.8351117205348</v>
      </c>
      <c r="AI34" s="611">
        <f>VLOOKUP(AI2,Tons!$B$10:$H$130,3,FALSE)</f>
        <v>9008.2182213238266</v>
      </c>
      <c r="AJ34" s="611">
        <f>VLOOKUP(AJ2,Tons!$B$10:$H$130,3,FALSE)</f>
        <v>9056.8625997189756</v>
      </c>
      <c r="AK34" s="611">
        <f>VLOOKUP(AK2,Tons!$B$10:$H$130,3,FALSE)</f>
        <v>9105.7696577574588</v>
      </c>
      <c r="AL34" s="611">
        <f>VLOOKUP(AL2,Tons!$B$10:$H$130,3,FALSE)</f>
        <v>9154.9408139093503</v>
      </c>
      <c r="AM34" s="611">
        <f>VLOOKUP(AM2,Tons!$B$10:$H$130,3,FALSE)</f>
        <v>9204.3774943044609</v>
      </c>
      <c r="AN34" s="611">
        <f>VLOOKUP(AN2,Tons!$B$10:$H$130,3,FALSE)</f>
        <v>9254.0811327737065</v>
      </c>
      <c r="AO34" s="611">
        <f>VLOOKUP(AO2,Tons!$B$10:$H$130,3,FALSE)</f>
        <v>9304.0531708906856</v>
      </c>
      <c r="AP34" s="611">
        <f>VLOOKUP(AP2,Tons!$B$10:$H$130,3,FALSE)</f>
        <v>9354.2950580134966</v>
      </c>
      <c r="AQ34" s="611">
        <f>VLOOKUP(AQ2,Tons!$B$10:$H$130,3,FALSE)</f>
        <v>9404.8082513267709</v>
      </c>
      <c r="AR34" s="611">
        <f>VLOOKUP(AR2,Tons!$B$10:$H$130,3,FALSE)</f>
        <v>9455.5942158839352</v>
      </c>
      <c r="AS34" s="611">
        <f>VLOOKUP(AS2,Tons!$B$10:$H$130,3,FALSE)</f>
        <v>9506.6544246497087</v>
      </c>
      <c r="AT34" s="611">
        <f>VLOOKUP(AT2,Tons!$B$10:$H$130,3,FALSE)</f>
        <v>9557.9903585428183</v>
      </c>
      <c r="AU34" s="611">
        <f>VLOOKUP(AU2,Tons!$B$10:$H$130,3,FALSE)</f>
        <v>9609.6035064789503</v>
      </c>
    </row>
    <row r="35" spans="1:47" s="538" customFormat="1" ht="11.5" x14ac:dyDescent="0.25">
      <c r="C35" s="538" t="s">
        <v>52</v>
      </c>
      <c r="D35" s="611"/>
      <c r="E35" s="611">
        <f>VLOOKUP(E2,Tons!$B$10:$H$130,4,FALSE)*(2/12)</f>
        <v>83.381208333333319</v>
      </c>
      <c r="F35" s="611">
        <f>VLOOKUP(F2,Tons!$B$10:$H$130,4,FALSE)</f>
        <v>500.28724999999997</v>
      </c>
      <c r="G35" s="611">
        <f>VLOOKUP(G2,Tons!$B$10:$H$130,4,FALSE)</f>
        <v>500.28724999999997</v>
      </c>
      <c r="H35" s="611">
        <f>VLOOKUP(H2,Tons!$B$10:$H$130,4,FALSE)</f>
        <v>500.28724999999997</v>
      </c>
      <c r="I35" s="611">
        <f>VLOOKUP(I2,Tons!$B$10:$H$130,4,FALSE)</f>
        <v>500.28724999999997</v>
      </c>
      <c r="J35" s="611">
        <f>VLOOKUP(J2,Tons!$B$10:$H$130,4,FALSE)</f>
        <v>500.28724999999997</v>
      </c>
      <c r="K35" s="611">
        <f>VLOOKUP(K2,Tons!$B$10:$H$130,4,FALSE)</f>
        <v>500.28724999999997</v>
      </c>
      <c r="L35" s="611">
        <f>VLOOKUP(L2,Tons!$B$10:$H$130,4,FALSE)</f>
        <v>500.28724999999997</v>
      </c>
      <c r="M35" s="611">
        <f>VLOOKUP(M2,Tons!$B$10:$H$130,4,FALSE)</f>
        <v>500.28724999999997</v>
      </c>
      <c r="N35" s="611">
        <f>VLOOKUP(N2,Tons!$B$10:$H$130,4,FALSE)</f>
        <v>500.28724999999997</v>
      </c>
      <c r="O35" s="611">
        <f>VLOOKUP(O2,Tons!$B$10:$H$130,4,FALSE)</f>
        <v>500.28724999999997</v>
      </c>
      <c r="P35" s="611">
        <f>VLOOKUP(P2,Tons!$B$10:$H$130,4,FALSE)</f>
        <v>500.28724999999997</v>
      </c>
      <c r="Q35" s="611">
        <f>VLOOKUP(Q2,Tons!$B$10:$H$130,4,FALSE)</f>
        <v>500.28724999999997</v>
      </c>
      <c r="R35" s="611">
        <f>VLOOKUP(R2,Tons!$B$10:$H$130,4,FALSE)</f>
        <v>500.28724999999997</v>
      </c>
      <c r="S35" s="611">
        <f>VLOOKUP(S2,Tons!$B$10:$H$130,4,FALSE)</f>
        <v>500.28724999999997</v>
      </c>
      <c r="T35" s="611">
        <f>VLOOKUP(T2,Tons!$B$10:$H$130,4,FALSE)</f>
        <v>500.28724999999997</v>
      </c>
      <c r="U35" s="611">
        <f>VLOOKUP(U2,Tons!$B$10:$H$130,4,FALSE)</f>
        <v>500.28724999999997</v>
      </c>
      <c r="V35" s="611">
        <f>VLOOKUP(V2,Tons!$B$10:$H$130,4,FALSE)</f>
        <v>500.28724999999997</v>
      </c>
      <c r="W35" s="611">
        <f>VLOOKUP(W2,Tons!$B$10:$H$130,4,FALSE)</f>
        <v>500.28724999999997</v>
      </c>
      <c r="X35" s="611">
        <f>VLOOKUP(X2,Tons!$B$10:$H$130,4,FALSE)</f>
        <v>500.28724999999997</v>
      </c>
      <c r="Y35" s="611">
        <f>VLOOKUP(Y2,Tons!$B$10:$H$130,4,FALSE)</f>
        <v>500.28724999999997</v>
      </c>
      <c r="Z35" s="611">
        <f>VLOOKUP(Z2,Tons!$B$10:$H$130,4,FALSE)</f>
        <v>500.28724999999997</v>
      </c>
      <c r="AA35" s="611">
        <f>VLOOKUP(AA2,Tons!$B$10:$H$130,4,FALSE)</f>
        <v>500.28724999999997</v>
      </c>
      <c r="AB35" s="611">
        <f>VLOOKUP(AB2,Tons!$B$10:$H$130,4,FALSE)</f>
        <v>500.28724999999997</v>
      </c>
      <c r="AC35" s="611">
        <f>VLOOKUP(AC2,Tons!$B$10:$H$130,4,FALSE)</f>
        <v>500.28724999999997</v>
      </c>
      <c r="AD35" s="611">
        <f>VLOOKUP(AD2,Tons!$B$10:$H$130,4,FALSE)</f>
        <v>500.28724999999997</v>
      </c>
      <c r="AE35" s="611">
        <f>VLOOKUP(AE2,Tons!$B$10:$H$130,4,FALSE)</f>
        <v>500.28724999999997</v>
      </c>
      <c r="AF35" s="611">
        <f>VLOOKUP(AF2,Tons!$B$10:$H$130,4,FALSE)</f>
        <v>500.28724999999997</v>
      </c>
      <c r="AG35" s="611">
        <f>VLOOKUP(AG2,Tons!$B$10:$H$130,4,FALSE)</f>
        <v>500.28724999999997</v>
      </c>
      <c r="AH35" s="611">
        <f>VLOOKUP(AH2,Tons!$B$10:$H$130,4,FALSE)</f>
        <v>500.28724999999997</v>
      </c>
      <c r="AI35" s="611">
        <f>VLOOKUP(AI2,Tons!$B$10:$H$130,4,FALSE)</f>
        <v>500.28724999999997</v>
      </c>
      <c r="AJ35" s="611">
        <f>VLOOKUP(AJ2,Tons!$B$10:$H$130,4,FALSE)</f>
        <v>500.28724999999997</v>
      </c>
      <c r="AK35" s="611">
        <f>VLOOKUP(AK2,Tons!$B$10:$H$130,4,FALSE)</f>
        <v>500.28724999999997</v>
      </c>
      <c r="AL35" s="611">
        <f>VLOOKUP(AL2,Tons!$B$10:$H$130,4,FALSE)</f>
        <v>500.28724999999997</v>
      </c>
      <c r="AM35" s="611">
        <f>VLOOKUP(AM2,Tons!$B$10:$H$130,4,FALSE)</f>
        <v>500.28724999999997</v>
      </c>
      <c r="AN35" s="611">
        <f>VLOOKUP(AN2,Tons!$B$10:$H$130,4,FALSE)</f>
        <v>500.28724999999997</v>
      </c>
      <c r="AO35" s="611">
        <f>VLOOKUP(AO2,Tons!$B$10:$H$130,4,FALSE)</f>
        <v>500.28724999999997</v>
      </c>
      <c r="AP35" s="611">
        <f>VLOOKUP(AP2,Tons!$B$10:$H$130,4,FALSE)</f>
        <v>500.28724999999997</v>
      </c>
      <c r="AQ35" s="611">
        <f>VLOOKUP(AQ2,Tons!$B$10:$H$130,4,FALSE)</f>
        <v>500.28724999999997</v>
      </c>
      <c r="AR35" s="611">
        <f>VLOOKUP(AR2,Tons!$B$10:$H$130,4,FALSE)</f>
        <v>500.28724999999997</v>
      </c>
      <c r="AS35" s="611">
        <f>VLOOKUP(AS2,Tons!$B$10:$H$130,4,FALSE)</f>
        <v>500.28724999999997</v>
      </c>
      <c r="AT35" s="611">
        <f>VLOOKUP(AT2,Tons!$B$10:$H$130,4,FALSE)</f>
        <v>500.28724999999997</v>
      </c>
      <c r="AU35" s="611">
        <f>VLOOKUP(AU2,Tons!$B$10:$H$130,4,FALSE)</f>
        <v>500.28724999999997</v>
      </c>
    </row>
    <row r="36" spans="1:47" s="538" customFormat="1" ht="11.5" x14ac:dyDescent="0.25">
      <c r="C36" s="538" t="s">
        <v>54</v>
      </c>
      <c r="D36" s="611"/>
      <c r="E36" s="611">
        <v>0</v>
      </c>
      <c r="F36" s="611">
        <f>VLOOKUP(F2,Tons!$B$10:$F$130,5,FALSE)*3/12</f>
        <v>2974.9578157061055</v>
      </c>
      <c r="G36" s="611">
        <f>VLOOKUP(G2,Tons!$B$10:$F$130,5,FALSE)</f>
        <v>12321.085289528406</v>
      </c>
      <c r="H36" s="611">
        <f>VLOOKUP(H2,Tons!$B$10:$F$130,5,FALSE)</f>
        <v>12757.251708777712</v>
      </c>
      <c r="I36" s="611">
        <f>VLOOKUP(I2,Tons!$B$10:$F$130,5,FALSE)</f>
        <v>13208.858419268445</v>
      </c>
      <c r="J36" s="611">
        <f>VLOOKUP(J2,Tons!$B$10:$F$130,5,FALSE)</f>
        <v>13676.452007310549</v>
      </c>
      <c r="K36" s="611">
        <f>VLOOKUP(K2,Tons!$B$10:$F$130,5,FALSE)</f>
        <v>14160.598408369344</v>
      </c>
      <c r="L36" s="611">
        <f>VLOOKUP(L2,Tons!$B$10:$F$130,5,FALSE)</f>
        <v>14661.883592025621</v>
      </c>
      <c r="M36" s="611">
        <f>VLOOKUP(M2,Tons!$B$10:$F$130,5,FALSE)</f>
        <v>15180.914271183328</v>
      </c>
      <c r="N36" s="611">
        <f>VLOOKUP(N2,Tons!$B$10:$F$130,5,FALSE)</f>
        <v>15718.318636383219</v>
      </c>
      <c r="O36" s="611">
        <f>VLOOKUP(O2,Tons!$B$10:$F$130,5,FALSE)</f>
        <v>16274.747116111186</v>
      </c>
      <c r="P36" s="611">
        <f>VLOOKUP(P2,Tons!$B$10:$F$130,5,FALSE)</f>
        <v>16850.873164021523</v>
      </c>
      <c r="Q36" s="611">
        <f>VLOOKUP(Q2,Tons!$B$10:$F$130,5,FALSE)</f>
        <v>17447.394074027885</v>
      </c>
      <c r="R36" s="611">
        <f>VLOOKUP(R2,Tons!$B$10:$F$130,5,FALSE)</f>
        <v>18065.031824248475</v>
      </c>
      <c r="S36" s="611">
        <f>VLOOKUP(S2,Tons!$B$10:$F$130,5,FALSE)</f>
        <v>18704.533950826873</v>
      </c>
      <c r="T36" s="611">
        <f>VLOOKUP(T2,Tons!$B$10:$F$130,5,FALSE)</f>
        <v>19366.674452686148</v>
      </c>
      <c r="U36" s="611">
        <f>VLOOKUP(U2,Tons!$B$10:$F$130,5,FALSE)</f>
        <v>20052.25472831124</v>
      </c>
      <c r="V36" s="611">
        <f>VLOOKUP(V2,Tons!$B$10:$F$130,5,FALSE)</f>
        <v>20762.104545693459</v>
      </c>
      <c r="W36" s="611">
        <f>VLOOKUP(W2,Tons!$B$10:$F$130,5,FALSE)</f>
        <v>21497.083046611009</v>
      </c>
      <c r="X36" s="611">
        <f>VLOOKUP(X2,Tons!$B$10:$F$130,5,FALSE)</f>
        <v>22258.079786461039</v>
      </c>
      <c r="Y36" s="611">
        <f>VLOOKUP(Y2,Tons!$B$10:$F$130,5,FALSE)</f>
        <v>23046.015810901761</v>
      </c>
      <c r="Z36" s="611">
        <f>VLOOKUP(Z2,Tons!$B$10:$F$130,5,FALSE)</f>
        <v>23861.844770607684</v>
      </c>
      <c r="AA36" s="611">
        <f>VLOOKUP(AA2,Tons!$B$10:$F$130,5,FALSE)</f>
        <v>24706.554075487198</v>
      </c>
      <c r="AB36" s="611">
        <f>VLOOKUP(AB2,Tons!$B$10:$F$130,5,FALSE)</f>
        <v>25581.166089759448</v>
      </c>
      <c r="AC36" s="611">
        <f>VLOOKUP(AC2,Tons!$B$10:$F$130,5,FALSE)</f>
        <v>26486.739369336934</v>
      </c>
      <c r="AD36" s="611">
        <f>VLOOKUP(AD2,Tons!$B$10:$F$130,5,FALSE)</f>
        <v>27424.369943011465</v>
      </c>
      <c r="AE36" s="611">
        <f>VLOOKUP(AE2,Tons!$B$10:$F$130,5,FALSE)</f>
        <v>28395.192638994075</v>
      </c>
      <c r="AF36" s="611">
        <f>VLOOKUP(AF2,Tons!$B$10:$F$130,5,FALSE)</f>
        <v>29400.382458414468</v>
      </c>
      <c r="AG36" s="611">
        <f>VLOOKUP(AG2,Tons!$B$10:$F$130,5,FALSE)</f>
        <v>30441.155997442344</v>
      </c>
      <c r="AH36" s="611">
        <f>VLOOKUP(AH2,Tons!$B$10:$F$130,5,FALSE)</f>
        <v>31518.772919751806</v>
      </c>
      <c r="AI36" s="611">
        <f>VLOOKUP(AI2,Tons!$B$10:$F$130,5,FALSE)</f>
        <v>32634.537481111023</v>
      </c>
      <c r="AJ36" s="611">
        <f>VLOOKUP(AJ2,Tons!$B$10:$F$130,5,FALSE)</f>
        <v>33789.800107942356</v>
      </c>
      <c r="AK36" s="611">
        <f>VLOOKUP(AK2,Tons!$B$10:$F$130,5,FALSE)</f>
        <v>34985.959031763516</v>
      </c>
      <c r="AL36" s="611">
        <f>VLOOKUP(AL2,Tons!$B$10:$F$130,5,FALSE)</f>
        <v>36224.461981487948</v>
      </c>
      <c r="AM36" s="611">
        <f>VLOOKUP(AM2,Tons!$B$10:$F$130,5,FALSE)</f>
        <v>37506.807935632627</v>
      </c>
      <c r="AN36" s="611">
        <f>VLOOKUP(AN2,Tons!$B$10:$F$130,5,FALSE)</f>
        <v>38834.548936554027</v>
      </c>
      <c r="AO36" s="611">
        <f>VLOOKUP(AO2,Tons!$B$10:$F$130,5,FALSE)</f>
        <v>40209.291968908045</v>
      </c>
      <c r="AP36" s="611">
        <f>VLOOKUP(AP2,Tons!$B$10:$F$130,5,FALSE)</f>
        <v>41632.700904607394</v>
      </c>
      <c r="AQ36" s="611">
        <f>VLOOKUP(AQ2,Tons!$B$10:$F$130,5,FALSE)</f>
        <v>43106.498516630498</v>
      </c>
      <c r="AR36" s="611">
        <f>VLOOKUP(AR2,Tons!$B$10:$F$130,5,FALSE)</f>
        <v>44632.468564119219</v>
      </c>
      <c r="AS36" s="611">
        <f>VLOOKUP(AS2,Tons!$B$10:$F$130,5,FALSE)</f>
        <v>46212.457951289041</v>
      </c>
      <c r="AT36" s="611">
        <f>VLOOKUP(AT2,Tons!$B$10:$F$130,5,FALSE)</f>
        <v>47848.378962764677</v>
      </c>
      <c r="AU36" s="611">
        <f>VLOOKUP(AU2,Tons!$B$10:$F$130,5,FALSE)</f>
        <v>49542.211578046554</v>
      </c>
    </row>
    <row r="37" spans="1:47" s="538" customFormat="1" ht="11.5" x14ac:dyDescent="0.25">
      <c r="E37" s="578"/>
    </row>
    <row r="38" spans="1:47" s="538" customFormat="1" ht="11.5" x14ac:dyDescent="0.25">
      <c r="A38" s="580" t="s">
        <v>421</v>
      </c>
      <c r="E38" s="612"/>
      <c r="F38" s="613"/>
    </row>
    <row r="39" spans="1:47" s="538" customFormat="1" ht="11.5" x14ac:dyDescent="0.25">
      <c r="C39" s="538" t="s">
        <v>50</v>
      </c>
      <c r="D39" s="611"/>
      <c r="E39" s="611">
        <f t="shared" ref="E39:AU39" si="16">ROUNDUP(E33/22,0)</f>
        <v>268</v>
      </c>
      <c r="F39" s="611">
        <f t="shared" si="16"/>
        <v>1647</v>
      </c>
      <c r="G39" s="611">
        <f t="shared" si="16"/>
        <v>1688</v>
      </c>
      <c r="H39" s="611">
        <f t="shared" si="16"/>
        <v>1731</v>
      </c>
      <c r="I39" s="611">
        <f t="shared" si="16"/>
        <v>1775</v>
      </c>
      <c r="J39" s="611">
        <f t="shared" si="16"/>
        <v>1820</v>
      </c>
      <c r="K39" s="611">
        <f t="shared" si="16"/>
        <v>1866</v>
      </c>
      <c r="L39" s="611">
        <f t="shared" si="16"/>
        <v>1913</v>
      </c>
      <c r="M39" s="611">
        <f t="shared" si="16"/>
        <v>1961</v>
      </c>
      <c r="N39" s="611">
        <f t="shared" si="16"/>
        <v>2011</v>
      </c>
      <c r="O39" s="611">
        <f t="shared" si="16"/>
        <v>2062</v>
      </c>
      <c r="P39" s="611">
        <f t="shared" si="16"/>
        <v>2114</v>
      </c>
      <c r="Q39" s="611">
        <f t="shared" si="16"/>
        <v>2167</v>
      </c>
      <c r="R39" s="611">
        <f t="shared" si="16"/>
        <v>2222</v>
      </c>
      <c r="S39" s="611">
        <f t="shared" si="16"/>
        <v>2278</v>
      </c>
      <c r="T39" s="611">
        <f t="shared" si="16"/>
        <v>2336</v>
      </c>
      <c r="U39" s="611">
        <f t="shared" si="16"/>
        <v>2395</v>
      </c>
      <c r="V39" s="611">
        <f t="shared" si="16"/>
        <v>2456</v>
      </c>
      <c r="W39" s="611">
        <f t="shared" si="16"/>
        <v>2518</v>
      </c>
      <c r="X39" s="611">
        <f t="shared" si="16"/>
        <v>2582</v>
      </c>
      <c r="Y39" s="611">
        <f t="shared" si="16"/>
        <v>2647</v>
      </c>
      <c r="Z39" s="611">
        <f t="shared" si="16"/>
        <v>2714</v>
      </c>
      <c r="AA39" s="611">
        <f t="shared" si="16"/>
        <v>2782</v>
      </c>
      <c r="AB39" s="611">
        <f t="shared" si="16"/>
        <v>2853</v>
      </c>
      <c r="AC39" s="611">
        <f t="shared" si="16"/>
        <v>2925</v>
      </c>
      <c r="AD39" s="611">
        <f t="shared" si="16"/>
        <v>2999</v>
      </c>
      <c r="AE39" s="611">
        <f t="shared" si="16"/>
        <v>3075</v>
      </c>
      <c r="AF39" s="611">
        <f t="shared" si="16"/>
        <v>3153</v>
      </c>
      <c r="AG39" s="611">
        <f t="shared" si="16"/>
        <v>3232</v>
      </c>
      <c r="AH39" s="611">
        <f t="shared" si="16"/>
        <v>3314</v>
      </c>
      <c r="AI39" s="611">
        <f t="shared" si="16"/>
        <v>3398</v>
      </c>
      <c r="AJ39" s="611">
        <f t="shared" si="16"/>
        <v>3484</v>
      </c>
      <c r="AK39" s="611">
        <f t="shared" si="16"/>
        <v>3572</v>
      </c>
      <c r="AL39" s="611">
        <f t="shared" si="16"/>
        <v>3662</v>
      </c>
      <c r="AM39" s="611">
        <f t="shared" si="16"/>
        <v>3755</v>
      </c>
      <c r="AN39" s="611">
        <f t="shared" si="16"/>
        <v>3850</v>
      </c>
      <c r="AO39" s="611">
        <f t="shared" si="16"/>
        <v>3948</v>
      </c>
      <c r="AP39" s="611">
        <f t="shared" si="16"/>
        <v>4047</v>
      </c>
      <c r="AQ39" s="611">
        <f t="shared" si="16"/>
        <v>4150</v>
      </c>
      <c r="AR39" s="611">
        <f t="shared" si="16"/>
        <v>4255</v>
      </c>
      <c r="AS39" s="611">
        <f t="shared" si="16"/>
        <v>4362</v>
      </c>
      <c r="AT39" s="611">
        <f t="shared" si="16"/>
        <v>4473</v>
      </c>
      <c r="AU39" s="611">
        <f t="shared" si="16"/>
        <v>4586</v>
      </c>
    </row>
    <row r="40" spans="1:47" s="538" customFormat="1" ht="11.5" x14ac:dyDescent="0.25">
      <c r="C40" s="538" t="s">
        <v>51</v>
      </c>
      <c r="D40" s="611"/>
      <c r="E40" s="611">
        <f t="shared" ref="E40:AU40" si="17">ROUNDUP(E34/22,0)</f>
        <v>59</v>
      </c>
      <c r="F40" s="611">
        <f t="shared" si="17"/>
        <v>351</v>
      </c>
      <c r="G40" s="611">
        <f t="shared" si="17"/>
        <v>353</v>
      </c>
      <c r="H40" s="611">
        <f t="shared" si="17"/>
        <v>355</v>
      </c>
      <c r="I40" s="611">
        <f t="shared" si="17"/>
        <v>356</v>
      </c>
      <c r="J40" s="611">
        <f t="shared" si="17"/>
        <v>358</v>
      </c>
      <c r="K40" s="611">
        <f t="shared" si="17"/>
        <v>360</v>
      </c>
      <c r="L40" s="611">
        <f t="shared" si="17"/>
        <v>362</v>
      </c>
      <c r="M40" s="611">
        <f t="shared" si="17"/>
        <v>364</v>
      </c>
      <c r="N40" s="611">
        <f t="shared" si="17"/>
        <v>366</v>
      </c>
      <c r="O40" s="611">
        <f t="shared" si="17"/>
        <v>368</v>
      </c>
      <c r="P40" s="611">
        <f t="shared" si="17"/>
        <v>370</v>
      </c>
      <c r="Q40" s="611">
        <f t="shared" si="17"/>
        <v>372</v>
      </c>
      <c r="R40" s="611">
        <f t="shared" si="17"/>
        <v>374</v>
      </c>
      <c r="S40" s="611">
        <f t="shared" si="17"/>
        <v>376</v>
      </c>
      <c r="T40" s="611">
        <f t="shared" si="17"/>
        <v>378</v>
      </c>
      <c r="U40" s="611">
        <f t="shared" si="17"/>
        <v>380</v>
      </c>
      <c r="V40" s="611">
        <f t="shared" si="17"/>
        <v>382</v>
      </c>
      <c r="W40" s="611">
        <f t="shared" si="17"/>
        <v>384</v>
      </c>
      <c r="X40" s="611">
        <f t="shared" si="17"/>
        <v>386</v>
      </c>
      <c r="Y40" s="611">
        <f t="shared" si="17"/>
        <v>388</v>
      </c>
      <c r="Z40" s="611">
        <f t="shared" si="17"/>
        <v>391</v>
      </c>
      <c r="AA40" s="611">
        <f t="shared" si="17"/>
        <v>393</v>
      </c>
      <c r="AB40" s="611">
        <f t="shared" si="17"/>
        <v>395</v>
      </c>
      <c r="AC40" s="611">
        <f t="shared" si="17"/>
        <v>397</v>
      </c>
      <c r="AD40" s="611">
        <f t="shared" si="17"/>
        <v>399</v>
      </c>
      <c r="AE40" s="611">
        <f t="shared" si="17"/>
        <v>401</v>
      </c>
      <c r="AF40" s="611">
        <f t="shared" si="17"/>
        <v>403</v>
      </c>
      <c r="AG40" s="611">
        <f t="shared" si="17"/>
        <v>406</v>
      </c>
      <c r="AH40" s="611">
        <f t="shared" si="17"/>
        <v>408</v>
      </c>
      <c r="AI40" s="611">
        <f t="shared" si="17"/>
        <v>410</v>
      </c>
      <c r="AJ40" s="611">
        <f t="shared" si="17"/>
        <v>412</v>
      </c>
      <c r="AK40" s="611">
        <f t="shared" si="17"/>
        <v>414</v>
      </c>
      <c r="AL40" s="611">
        <f t="shared" si="17"/>
        <v>417</v>
      </c>
      <c r="AM40" s="611">
        <f t="shared" si="17"/>
        <v>419</v>
      </c>
      <c r="AN40" s="611">
        <f t="shared" si="17"/>
        <v>421</v>
      </c>
      <c r="AO40" s="611">
        <f t="shared" si="17"/>
        <v>423</v>
      </c>
      <c r="AP40" s="611">
        <f t="shared" si="17"/>
        <v>426</v>
      </c>
      <c r="AQ40" s="611">
        <f t="shared" si="17"/>
        <v>428</v>
      </c>
      <c r="AR40" s="611">
        <f t="shared" si="17"/>
        <v>430</v>
      </c>
      <c r="AS40" s="611">
        <f t="shared" si="17"/>
        <v>433</v>
      </c>
      <c r="AT40" s="611">
        <f t="shared" si="17"/>
        <v>435</v>
      </c>
      <c r="AU40" s="611">
        <f t="shared" si="17"/>
        <v>437</v>
      </c>
    </row>
    <row r="41" spans="1:47" s="538" customFormat="1" ht="11.5" x14ac:dyDescent="0.25">
      <c r="C41" s="538" t="s">
        <v>52</v>
      </c>
      <c r="D41" s="611"/>
      <c r="E41" s="611">
        <f>ROUNDUP(E35/10,0)</f>
        <v>9</v>
      </c>
      <c r="F41" s="611">
        <f t="shared" ref="F41:AU41" si="18">ROUNDUP(F35/10,0)</f>
        <v>51</v>
      </c>
      <c r="G41" s="611">
        <f t="shared" si="18"/>
        <v>51</v>
      </c>
      <c r="H41" s="611">
        <f t="shared" si="18"/>
        <v>51</v>
      </c>
      <c r="I41" s="611">
        <f t="shared" si="18"/>
        <v>51</v>
      </c>
      <c r="J41" s="611">
        <f t="shared" si="18"/>
        <v>51</v>
      </c>
      <c r="K41" s="611">
        <f t="shared" si="18"/>
        <v>51</v>
      </c>
      <c r="L41" s="611">
        <f t="shared" si="18"/>
        <v>51</v>
      </c>
      <c r="M41" s="611">
        <f t="shared" si="18"/>
        <v>51</v>
      </c>
      <c r="N41" s="611">
        <f t="shared" si="18"/>
        <v>51</v>
      </c>
      <c r="O41" s="611">
        <f t="shared" si="18"/>
        <v>51</v>
      </c>
      <c r="P41" s="611">
        <f t="shared" si="18"/>
        <v>51</v>
      </c>
      <c r="Q41" s="611">
        <f t="shared" si="18"/>
        <v>51</v>
      </c>
      <c r="R41" s="611">
        <f t="shared" si="18"/>
        <v>51</v>
      </c>
      <c r="S41" s="611">
        <f t="shared" si="18"/>
        <v>51</v>
      </c>
      <c r="T41" s="611">
        <f t="shared" si="18"/>
        <v>51</v>
      </c>
      <c r="U41" s="611">
        <f t="shared" si="18"/>
        <v>51</v>
      </c>
      <c r="V41" s="611">
        <f t="shared" si="18"/>
        <v>51</v>
      </c>
      <c r="W41" s="611">
        <f t="shared" si="18"/>
        <v>51</v>
      </c>
      <c r="X41" s="611">
        <f t="shared" si="18"/>
        <v>51</v>
      </c>
      <c r="Y41" s="611">
        <f t="shared" si="18"/>
        <v>51</v>
      </c>
      <c r="Z41" s="611">
        <f t="shared" si="18"/>
        <v>51</v>
      </c>
      <c r="AA41" s="611">
        <f t="shared" si="18"/>
        <v>51</v>
      </c>
      <c r="AB41" s="611">
        <f t="shared" si="18"/>
        <v>51</v>
      </c>
      <c r="AC41" s="611">
        <f t="shared" si="18"/>
        <v>51</v>
      </c>
      <c r="AD41" s="611">
        <f t="shared" si="18"/>
        <v>51</v>
      </c>
      <c r="AE41" s="611">
        <f t="shared" si="18"/>
        <v>51</v>
      </c>
      <c r="AF41" s="611">
        <f t="shared" si="18"/>
        <v>51</v>
      </c>
      <c r="AG41" s="611">
        <f t="shared" si="18"/>
        <v>51</v>
      </c>
      <c r="AH41" s="611">
        <f t="shared" si="18"/>
        <v>51</v>
      </c>
      <c r="AI41" s="611">
        <f t="shared" si="18"/>
        <v>51</v>
      </c>
      <c r="AJ41" s="611">
        <f t="shared" si="18"/>
        <v>51</v>
      </c>
      <c r="AK41" s="611">
        <f t="shared" si="18"/>
        <v>51</v>
      </c>
      <c r="AL41" s="611">
        <f t="shared" si="18"/>
        <v>51</v>
      </c>
      <c r="AM41" s="611">
        <f t="shared" si="18"/>
        <v>51</v>
      </c>
      <c r="AN41" s="611">
        <f t="shared" si="18"/>
        <v>51</v>
      </c>
      <c r="AO41" s="611">
        <f t="shared" si="18"/>
        <v>51</v>
      </c>
      <c r="AP41" s="611">
        <f t="shared" si="18"/>
        <v>51</v>
      </c>
      <c r="AQ41" s="611">
        <f t="shared" si="18"/>
        <v>51</v>
      </c>
      <c r="AR41" s="611">
        <f t="shared" si="18"/>
        <v>51</v>
      </c>
      <c r="AS41" s="611">
        <f t="shared" si="18"/>
        <v>51</v>
      </c>
      <c r="AT41" s="611">
        <f t="shared" si="18"/>
        <v>51</v>
      </c>
      <c r="AU41" s="611">
        <f t="shared" si="18"/>
        <v>51</v>
      </c>
    </row>
    <row r="42" spans="1:47" s="538" customFormat="1" ht="11.5" x14ac:dyDescent="0.25">
      <c r="C42" s="538" t="s">
        <v>54</v>
      </c>
      <c r="D42" s="611"/>
      <c r="E42" s="611">
        <f t="shared" ref="E42:AU42" si="19">ROUNDUP(E36/22,0)</f>
        <v>0</v>
      </c>
      <c r="F42" s="611">
        <f t="shared" si="19"/>
        <v>136</v>
      </c>
      <c r="G42" s="611">
        <f t="shared" si="19"/>
        <v>561</v>
      </c>
      <c r="H42" s="611">
        <f t="shared" si="19"/>
        <v>580</v>
      </c>
      <c r="I42" s="611">
        <f t="shared" si="19"/>
        <v>601</v>
      </c>
      <c r="J42" s="611">
        <f t="shared" si="19"/>
        <v>622</v>
      </c>
      <c r="K42" s="611">
        <f t="shared" si="19"/>
        <v>644</v>
      </c>
      <c r="L42" s="611">
        <f t="shared" si="19"/>
        <v>667</v>
      </c>
      <c r="M42" s="611">
        <f t="shared" si="19"/>
        <v>691</v>
      </c>
      <c r="N42" s="611">
        <f t="shared" si="19"/>
        <v>715</v>
      </c>
      <c r="O42" s="611">
        <f t="shared" si="19"/>
        <v>740</v>
      </c>
      <c r="P42" s="611">
        <f t="shared" si="19"/>
        <v>766</v>
      </c>
      <c r="Q42" s="611">
        <f t="shared" si="19"/>
        <v>794</v>
      </c>
      <c r="R42" s="611">
        <f t="shared" si="19"/>
        <v>822</v>
      </c>
      <c r="S42" s="611">
        <f t="shared" si="19"/>
        <v>851</v>
      </c>
      <c r="T42" s="611">
        <f t="shared" si="19"/>
        <v>881</v>
      </c>
      <c r="U42" s="611">
        <f t="shared" si="19"/>
        <v>912</v>
      </c>
      <c r="V42" s="611">
        <f t="shared" si="19"/>
        <v>944</v>
      </c>
      <c r="W42" s="611">
        <f t="shared" si="19"/>
        <v>978</v>
      </c>
      <c r="X42" s="611">
        <f t="shared" si="19"/>
        <v>1012</v>
      </c>
      <c r="Y42" s="611">
        <f t="shared" si="19"/>
        <v>1048</v>
      </c>
      <c r="Z42" s="611">
        <f t="shared" si="19"/>
        <v>1085</v>
      </c>
      <c r="AA42" s="611">
        <f t="shared" si="19"/>
        <v>1124</v>
      </c>
      <c r="AB42" s="611">
        <f t="shared" si="19"/>
        <v>1163</v>
      </c>
      <c r="AC42" s="611">
        <f t="shared" si="19"/>
        <v>1204</v>
      </c>
      <c r="AD42" s="611">
        <f t="shared" si="19"/>
        <v>1247</v>
      </c>
      <c r="AE42" s="611">
        <f t="shared" si="19"/>
        <v>1291</v>
      </c>
      <c r="AF42" s="611">
        <f t="shared" si="19"/>
        <v>1337</v>
      </c>
      <c r="AG42" s="611">
        <f t="shared" si="19"/>
        <v>1384</v>
      </c>
      <c r="AH42" s="611">
        <f t="shared" si="19"/>
        <v>1433</v>
      </c>
      <c r="AI42" s="611">
        <f t="shared" si="19"/>
        <v>1484</v>
      </c>
      <c r="AJ42" s="611">
        <f t="shared" si="19"/>
        <v>1536</v>
      </c>
      <c r="AK42" s="611">
        <f t="shared" si="19"/>
        <v>1591</v>
      </c>
      <c r="AL42" s="611">
        <f t="shared" si="19"/>
        <v>1647</v>
      </c>
      <c r="AM42" s="611">
        <f t="shared" si="19"/>
        <v>1705</v>
      </c>
      <c r="AN42" s="611">
        <f t="shared" si="19"/>
        <v>1766</v>
      </c>
      <c r="AO42" s="611">
        <f t="shared" si="19"/>
        <v>1828</v>
      </c>
      <c r="AP42" s="611">
        <f t="shared" si="19"/>
        <v>1893</v>
      </c>
      <c r="AQ42" s="611">
        <f t="shared" si="19"/>
        <v>1960</v>
      </c>
      <c r="AR42" s="611">
        <f t="shared" si="19"/>
        <v>2029</v>
      </c>
      <c r="AS42" s="611">
        <f t="shared" si="19"/>
        <v>2101</v>
      </c>
      <c r="AT42" s="611">
        <f t="shared" si="19"/>
        <v>2175</v>
      </c>
      <c r="AU42" s="611">
        <f t="shared" si="19"/>
        <v>2252</v>
      </c>
    </row>
    <row r="43" spans="1:47" s="538" customFormat="1" ht="11.5" x14ac:dyDescent="0.25">
      <c r="E43" s="613"/>
      <c r="F43" s="613"/>
    </row>
    <row r="44" spans="1:47" s="538" customFormat="1" ht="11.5" x14ac:dyDescent="0.25">
      <c r="A44" s="580" t="s">
        <v>420</v>
      </c>
      <c r="E44" s="612"/>
      <c r="F44" s="613"/>
    </row>
    <row r="45" spans="1:47" s="538" customFormat="1" ht="11.5" x14ac:dyDescent="0.25">
      <c r="C45" s="538" t="s">
        <v>50</v>
      </c>
      <c r="D45" s="611"/>
      <c r="E45" s="611">
        <f>E39*'Hauling Mileages'!$B$4</f>
        <v>10720</v>
      </c>
      <c r="F45" s="611">
        <f>F39*'Hauling Mileages'!$B$4</f>
        <v>65880</v>
      </c>
      <c r="G45" s="611">
        <f>G39*'Hauling Mileages'!$B$4</f>
        <v>67520</v>
      </c>
      <c r="H45" s="611">
        <f>H39*'Hauling Mileages'!$B$4</f>
        <v>69240</v>
      </c>
      <c r="I45" s="611">
        <f>I39*'Hauling Mileages'!$B$4</f>
        <v>71000</v>
      </c>
      <c r="J45" s="611">
        <f>J39*'Hauling Mileages'!$B$4</f>
        <v>72800</v>
      </c>
      <c r="K45" s="611">
        <f>K39*'Hauling Mileages'!$B$4</f>
        <v>74640</v>
      </c>
      <c r="L45" s="611">
        <f>L39*'Hauling Mileages'!$B$4</f>
        <v>76520</v>
      </c>
      <c r="M45" s="611">
        <f>M39*'Hauling Mileages'!$B$4</f>
        <v>78440</v>
      </c>
      <c r="N45" s="611">
        <f>N39*'Hauling Mileages'!$B$4</f>
        <v>80440</v>
      </c>
      <c r="O45" s="611">
        <f>O39*'Hauling Mileages'!$B$4</f>
        <v>82480</v>
      </c>
      <c r="P45" s="611">
        <f>P39*'Hauling Mileages'!$B$4</f>
        <v>84560</v>
      </c>
      <c r="Q45" s="611">
        <f>Q39*'Hauling Mileages'!$B$4</f>
        <v>86680</v>
      </c>
      <c r="R45" s="611">
        <f>R39*'Hauling Mileages'!$B$4</f>
        <v>88880</v>
      </c>
      <c r="S45" s="611">
        <f>S39*'Hauling Mileages'!$B$4</f>
        <v>91120</v>
      </c>
      <c r="T45" s="611">
        <f>T39*'Hauling Mileages'!$B$4</f>
        <v>93440</v>
      </c>
      <c r="U45" s="611">
        <f>U39*'Hauling Mileages'!$B$4</f>
        <v>95800</v>
      </c>
      <c r="V45" s="611">
        <f>V39*'Hauling Mileages'!$B$4</f>
        <v>98240</v>
      </c>
      <c r="W45" s="611">
        <f>W39*'Hauling Mileages'!$B$4</f>
        <v>100720</v>
      </c>
      <c r="X45" s="611">
        <f>X39*'Hauling Mileages'!$B$4</f>
        <v>103280</v>
      </c>
      <c r="Y45" s="611">
        <f>Y39*'Hauling Mileages'!$B$4</f>
        <v>105880</v>
      </c>
      <c r="Z45" s="611">
        <f>Z39*'Hauling Mileages'!$B$4</f>
        <v>108560</v>
      </c>
      <c r="AA45" s="611">
        <f>AA39*'Hauling Mileages'!$B$4</f>
        <v>111280</v>
      </c>
      <c r="AB45" s="611">
        <f>AB39*'Hauling Mileages'!$B$4</f>
        <v>114120</v>
      </c>
      <c r="AC45" s="611">
        <f>AC39*'Hauling Mileages'!$B$4</f>
        <v>117000</v>
      </c>
      <c r="AD45" s="611">
        <f>AD39*'Hauling Mileages'!$B$4</f>
        <v>119960</v>
      </c>
      <c r="AE45" s="611">
        <f>AE39*'Hauling Mileages'!$B$4</f>
        <v>123000</v>
      </c>
      <c r="AF45" s="611">
        <f>AF39*'Hauling Mileages'!$B$4</f>
        <v>126120</v>
      </c>
      <c r="AG45" s="611">
        <f>AG39*'Hauling Mileages'!$B$4</f>
        <v>129280</v>
      </c>
      <c r="AH45" s="611">
        <f>AH39*'Hauling Mileages'!$B$4</f>
        <v>132560</v>
      </c>
      <c r="AI45" s="611">
        <f>AI39*'Hauling Mileages'!$B$4</f>
        <v>135920</v>
      </c>
      <c r="AJ45" s="611">
        <f>AJ39*'Hauling Mileages'!$B$4</f>
        <v>139360</v>
      </c>
      <c r="AK45" s="611">
        <f>AK39*'Hauling Mileages'!$B$4</f>
        <v>142880</v>
      </c>
      <c r="AL45" s="611">
        <f>AL39*'Hauling Mileages'!$B$4</f>
        <v>146480</v>
      </c>
      <c r="AM45" s="611">
        <f>AM39*'Hauling Mileages'!$B$4</f>
        <v>150200</v>
      </c>
      <c r="AN45" s="611">
        <f>AN39*'Hauling Mileages'!$B$4</f>
        <v>154000</v>
      </c>
      <c r="AO45" s="611">
        <f>AO39*'Hauling Mileages'!$B$4</f>
        <v>157920</v>
      </c>
      <c r="AP45" s="611">
        <f>AP39*'Hauling Mileages'!$B$4</f>
        <v>161880</v>
      </c>
      <c r="AQ45" s="611">
        <f>AQ39*'Hauling Mileages'!$B$4</f>
        <v>166000</v>
      </c>
      <c r="AR45" s="611">
        <f>AR39*'Hauling Mileages'!$B$4</f>
        <v>170200</v>
      </c>
      <c r="AS45" s="611">
        <f>AS39*'Hauling Mileages'!$B$4</f>
        <v>174480</v>
      </c>
      <c r="AT45" s="611">
        <f>AT39*'Hauling Mileages'!$B$4</f>
        <v>178920</v>
      </c>
      <c r="AU45" s="611">
        <f>AU39*'Hauling Mileages'!$B$4</f>
        <v>183440</v>
      </c>
    </row>
    <row r="46" spans="1:47" s="538" customFormat="1" ht="11.5" x14ac:dyDescent="0.25">
      <c r="C46" s="538" t="s">
        <v>51</v>
      </c>
      <c r="D46" s="611"/>
      <c r="E46" s="611">
        <f>(E40/2)*'Hauling Mileages'!$C$4+(E40/2)*'Hauling Mileages'!$D$4</f>
        <v>4661</v>
      </c>
      <c r="F46" s="611">
        <f>(F40/2)*'Hauling Mileages'!$C$4+(F40/2)*'Hauling Mileages'!$D$4</f>
        <v>27729</v>
      </c>
      <c r="G46" s="611">
        <f>(G40/2)*'Hauling Mileages'!$C$4+(G40/2)*'Hauling Mileages'!$D$4</f>
        <v>27887</v>
      </c>
      <c r="H46" s="611">
        <f>(H40/2)*'Hauling Mileages'!$C$4+(H40/2)*'Hauling Mileages'!$D$4</f>
        <v>28045</v>
      </c>
      <c r="I46" s="611">
        <f>(I40/2)*'Hauling Mileages'!$C$4+(I40/2)*'Hauling Mileages'!$D$4</f>
        <v>28124</v>
      </c>
      <c r="J46" s="611">
        <f>(J40/2)*'Hauling Mileages'!$C$4+(J40/2)*'Hauling Mileages'!$D$4</f>
        <v>28282</v>
      </c>
      <c r="K46" s="611">
        <f>(K40/2)*'Hauling Mileages'!$C$4+(K40/2)*'Hauling Mileages'!$D$4</f>
        <v>28440</v>
      </c>
      <c r="L46" s="611">
        <f>(L40/2)*'Hauling Mileages'!$C$4+(L40/2)*'Hauling Mileages'!$D$4</f>
        <v>28598</v>
      </c>
      <c r="M46" s="611">
        <f>(M40/2)*'Hauling Mileages'!$C$4+(M40/2)*'Hauling Mileages'!$D$4</f>
        <v>28756</v>
      </c>
      <c r="N46" s="611">
        <f>(N40/2)*'Hauling Mileages'!$C$4+(N40/2)*'Hauling Mileages'!$D$4</f>
        <v>28914</v>
      </c>
      <c r="O46" s="611">
        <f>(O40/2)*'Hauling Mileages'!$C$4+(O40/2)*'Hauling Mileages'!$D$4</f>
        <v>29072</v>
      </c>
      <c r="P46" s="611">
        <f>(P40/2)*'Hauling Mileages'!$C$4+(P40/2)*'Hauling Mileages'!$D$4</f>
        <v>29230</v>
      </c>
      <c r="Q46" s="611">
        <f>(Q40/2)*'Hauling Mileages'!$C$4+(Q40/2)*'Hauling Mileages'!$D$4</f>
        <v>29388</v>
      </c>
      <c r="R46" s="611">
        <f>(R40/2)*'Hauling Mileages'!$C$4+(R40/2)*'Hauling Mileages'!$D$4</f>
        <v>29546</v>
      </c>
      <c r="S46" s="611">
        <f>(S40/2)*'Hauling Mileages'!$C$4+(S40/2)*'Hauling Mileages'!$D$4</f>
        <v>29704</v>
      </c>
      <c r="T46" s="611">
        <f>(T40/2)*'Hauling Mileages'!$C$4+(T40/2)*'Hauling Mileages'!$D$4</f>
        <v>29862</v>
      </c>
      <c r="U46" s="611">
        <f>(U40/2)*'Hauling Mileages'!$C$4+(U40/2)*'Hauling Mileages'!$D$4</f>
        <v>30020</v>
      </c>
      <c r="V46" s="611">
        <f>(V40/2)*'Hauling Mileages'!$C$4+(V40/2)*'Hauling Mileages'!$D$4</f>
        <v>30178</v>
      </c>
      <c r="W46" s="611">
        <f>(W40/2)*'Hauling Mileages'!$C$4+(W40/2)*'Hauling Mileages'!$D$4</f>
        <v>30336</v>
      </c>
      <c r="X46" s="611">
        <f>(X40/2)*'Hauling Mileages'!$C$4+(X40/2)*'Hauling Mileages'!$D$4</f>
        <v>30494</v>
      </c>
      <c r="Y46" s="611">
        <f>(Y40/2)*'Hauling Mileages'!$C$4+(Y40/2)*'Hauling Mileages'!$D$4</f>
        <v>30652</v>
      </c>
      <c r="Z46" s="611">
        <f>(Z40/2)*'Hauling Mileages'!$C$4+(Z40/2)*'Hauling Mileages'!$D$4</f>
        <v>30889</v>
      </c>
      <c r="AA46" s="611">
        <f>(AA40/2)*'Hauling Mileages'!$C$4+(AA40/2)*'Hauling Mileages'!$D$4</f>
        <v>31047</v>
      </c>
      <c r="AB46" s="611">
        <f>(AB40/2)*'Hauling Mileages'!$C$4+(AB40/2)*'Hauling Mileages'!$D$4</f>
        <v>31205</v>
      </c>
      <c r="AC46" s="611">
        <f>(AC40/2)*'Hauling Mileages'!$C$4+(AC40/2)*'Hauling Mileages'!$D$4</f>
        <v>31363</v>
      </c>
      <c r="AD46" s="611">
        <f>(AD40/2)*'Hauling Mileages'!$C$4+(AD40/2)*'Hauling Mileages'!$D$4</f>
        <v>31521</v>
      </c>
      <c r="AE46" s="611">
        <f>(AE40/2)*'Hauling Mileages'!$C$4+(AE40/2)*'Hauling Mileages'!$D$4</f>
        <v>31679</v>
      </c>
      <c r="AF46" s="611">
        <f>(AF40/2)*'Hauling Mileages'!$C$4+(AF40/2)*'Hauling Mileages'!$D$4</f>
        <v>31837</v>
      </c>
      <c r="AG46" s="611">
        <f>(AG40/2)*'Hauling Mileages'!$C$4+(AG40/2)*'Hauling Mileages'!$D$4</f>
        <v>32074</v>
      </c>
      <c r="AH46" s="611">
        <f>(AH40/2)*'Hauling Mileages'!$C$4+(AH40/2)*'Hauling Mileages'!$D$4</f>
        <v>32232</v>
      </c>
      <c r="AI46" s="611">
        <f>(AI40/2)*'Hauling Mileages'!$C$4+(AI40/2)*'Hauling Mileages'!$D$4</f>
        <v>32390</v>
      </c>
      <c r="AJ46" s="611">
        <f>(AJ40/2)*'Hauling Mileages'!$C$4+(AJ40/2)*'Hauling Mileages'!$D$4</f>
        <v>32548</v>
      </c>
      <c r="AK46" s="611">
        <f>(AK40/2)*'Hauling Mileages'!$C$4+(AK40/2)*'Hauling Mileages'!$D$4</f>
        <v>32706</v>
      </c>
      <c r="AL46" s="611">
        <f>(AL40/2)*'Hauling Mileages'!$C$4+(AL40/2)*'Hauling Mileages'!$D$4</f>
        <v>32943</v>
      </c>
      <c r="AM46" s="611">
        <f>(AM40/2)*'Hauling Mileages'!$C$4+(AM40/2)*'Hauling Mileages'!$D$4</f>
        <v>33101</v>
      </c>
      <c r="AN46" s="611">
        <f>(AN40/2)*'Hauling Mileages'!$C$4+(AN40/2)*'Hauling Mileages'!$D$4</f>
        <v>33259</v>
      </c>
      <c r="AO46" s="611">
        <f>(AO40/2)*'Hauling Mileages'!$C$4+(AO40/2)*'Hauling Mileages'!$D$4</f>
        <v>33417</v>
      </c>
      <c r="AP46" s="611">
        <f>(AP40/2)*'Hauling Mileages'!$C$4+(AP40/2)*'Hauling Mileages'!$D$4</f>
        <v>33654</v>
      </c>
      <c r="AQ46" s="611">
        <f>(AQ40/2)*'Hauling Mileages'!$C$4+(AQ40/2)*'Hauling Mileages'!$D$4</f>
        <v>33812</v>
      </c>
      <c r="AR46" s="611">
        <f>(AR40/2)*'Hauling Mileages'!$C$4+(AR40/2)*'Hauling Mileages'!$D$4</f>
        <v>33970</v>
      </c>
      <c r="AS46" s="611">
        <f>(AS40/2)*'Hauling Mileages'!$C$4+(AS40/2)*'Hauling Mileages'!$D$4</f>
        <v>34207</v>
      </c>
      <c r="AT46" s="611">
        <f>(AT40/2)*'Hauling Mileages'!$C$4+(AT40/2)*'Hauling Mileages'!$D$4</f>
        <v>34365</v>
      </c>
      <c r="AU46" s="611">
        <f>(AU40/2)*'Hauling Mileages'!$C$4+(AU40/2)*'Hauling Mileages'!$D$4</f>
        <v>34523</v>
      </c>
    </row>
    <row r="47" spans="1:47" s="538" customFormat="1" ht="11.5" x14ac:dyDescent="0.25">
      <c r="C47" s="538" t="s">
        <v>52</v>
      </c>
      <c r="D47" s="611"/>
      <c r="E47" s="611">
        <f>E41*'Hauling Mileages'!$E$4</f>
        <v>774</v>
      </c>
      <c r="F47" s="611">
        <f>F41*'Hauling Mileages'!$E$4</f>
        <v>4386</v>
      </c>
      <c r="G47" s="611">
        <f>G41*'Hauling Mileages'!$E$4</f>
        <v>4386</v>
      </c>
      <c r="H47" s="611">
        <f>H41*'Hauling Mileages'!$E$4</f>
        <v>4386</v>
      </c>
      <c r="I47" s="611">
        <f>I41*'Hauling Mileages'!$E$4</f>
        <v>4386</v>
      </c>
      <c r="J47" s="611">
        <f>J41*'Hauling Mileages'!$E$4</f>
        <v>4386</v>
      </c>
      <c r="K47" s="611">
        <f>K41*'Hauling Mileages'!$E$4</f>
        <v>4386</v>
      </c>
      <c r="L47" s="611">
        <f>L41*'Hauling Mileages'!$E$4</f>
        <v>4386</v>
      </c>
      <c r="M47" s="611">
        <f>M41*'Hauling Mileages'!$E$4</f>
        <v>4386</v>
      </c>
      <c r="N47" s="611">
        <f>N41*'Hauling Mileages'!$E$4</f>
        <v>4386</v>
      </c>
      <c r="O47" s="611">
        <f>O41*'Hauling Mileages'!$E$4</f>
        <v>4386</v>
      </c>
      <c r="P47" s="611">
        <f>P41*'Hauling Mileages'!$E$4</f>
        <v>4386</v>
      </c>
      <c r="Q47" s="611">
        <f>Q41*'Hauling Mileages'!$E$4</f>
        <v>4386</v>
      </c>
      <c r="R47" s="611">
        <f>R41*'Hauling Mileages'!$E$4</f>
        <v>4386</v>
      </c>
      <c r="S47" s="611">
        <f>S41*'Hauling Mileages'!$E$4</f>
        <v>4386</v>
      </c>
      <c r="T47" s="611">
        <f>T41*'Hauling Mileages'!$E$4</f>
        <v>4386</v>
      </c>
      <c r="U47" s="611">
        <f>U41*'Hauling Mileages'!$E$4</f>
        <v>4386</v>
      </c>
      <c r="V47" s="611">
        <f>V41*'Hauling Mileages'!$E$4</f>
        <v>4386</v>
      </c>
      <c r="W47" s="611">
        <f>W41*'Hauling Mileages'!$E$4</f>
        <v>4386</v>
      </c>
      <c r="X47" s="611">
        <f>X41*'Hauling Mileages'!$E$4</f>
        <v>4386</v>
      </c>
      <c r="Y47" s="611">
        <f>Y41*'Hauling Mileages'!$E$4</f>
        <v>4386</v>
      </c>
      <c r="Z47" s="611">
        <f>Z41*'Hauling Mileages'!$E$4</f>
        <v>4386</v>
      </c>
      <c r="AA47" s="611">
        <f>AA41*'Hauling Mileages'!$E$4</f>
        <v>4386</v>
      </c>
      <c r="AB47" s="611">
        <f>AB41*'Hauling Mileages'!$E$4</f>
        <v>4386</v>
      </c>
      <c r="AC47" s="611">
        <f>AC41*'Hauling Mileages'!$E$4</f>
        <v>4386</v>
      </c>
      <c r="AD47" s="611">
        <f>AD41*'Hauling Mileages'!$E$4</f>
        <v>4386</v>
      </c>
      <c r="AE47" s="611">
        <f>AE41*'Hauling Mileages'!$E$4</f>
        <v>4386</v>
      </c>
      <c r="AF47" s="611">
        <f>AF41*'Hauling Mileages'!$E$4</f>
        <v>4386</v>
      </c>
      <c r="AG47" s="611">
        <f>AG41*'Hauling Mileages'!$E$4</f>
        <v>4386</v>
      </c>
      <c r="AH47" s="611">
        <f>AH41*'Hauling Mileages'!$E$4</f>
        <v>4386</v>
      </c>
      <c r="AI47" s="611">
        <f>AI41*'Hauling Mileages'!$E$4</f>
        <v>4386</v>
      </c>
      <c r="AJ47" s="611">
        <f>AJ41*'Hauling Mileages'!$E$4</f>
        <v>4386</v>
      </c>
      <c r="AK47" s="611">
        <f>AK41*'Hauling Mileages'!$E$4</f>
        <v>4386</v>
      </c>
      <c r="AL47" s="611">
        <f>AL41*'Hauling Mileages'!$E$4</f>
        <v>4386</v>
      </c>
      <c r="AM47" s="611">
        <f>AM41*'Hauling Mileages'!$E$4</f>
        <v>4386</v>
      </c>
      <c r="AN47" s="611">
        <f>AN41*'Hauling Mileages'!$E$4</f>
        <v>4386</v>
      </c>
      <c r="AO47" s="611">
        <f>AO41*'Hauling Mileages'!$E$4</f>
        <v>4386</v>
      </c>
      <c r="AP47" s="611">
        <f>AP41*'Hauling Mileages'!$E$4</f>
        <v>4386</v>
      </c>
      <c r="AQ47" s="611">
        <f>AQ41*'Hauling Mileages'!$E$4</f>
        <v>4386</v>
      </c>
      <c r="AR47" s="611">
        <f>AR41*'Hauling Mileages'!$E$4</f>
        <v>4386</v>
      </c>
      <c r="AS47" s="611">
        <f>AS41*'Hauling Mileages'!$E$4</f>
        <v>4386</v>
      </c>
      <c r="AT47" s="611">
        <f>AT41*'Hauling Mileages'!$E$4</f>
        <v>4386</v>
      </c>
      <c r="AU47" s="611">
        <f>AU41*'Hauling Mileages'!$E$4</f>
        <v>4386</v>
      </c>
    </row>
    <row r="48" spans="1:47" s="538" customFormat="1" ht="11.5" x14ac:dyDescent="0.25">
      <c r="C48" s="538" t="s">
        <v>54</v>
      </c>
      <c r="D48" s="611"/>
      <c r="E48" s="611">
        <v>0</v>
      </c>
      <c r="F48" s="611">
        <f>F42*'Hauling Mileages'!$F$4</f>
        <v>10336</v>
      </c>
      <c r="G48" s="611">
        <f>G42*'Hauling Mileages'!$F$4</f>
        <v>42636</v>
      </c>
      <c r="H48" s="611">
        <f>H42*'Hauling Mileages'!$F$4</f>
        <v>44080</v>
      </c>
      <c r="I48" s="611">
        <f>I42*'Hauling Mileages'!$F$4</f>
        <v>45676</v>
      </c>
      <c r="J48" s="611">
        <f>J42*'Hauling Mileages'!$F$4</f>
        <v>47272</v>
      </c>
      <c r="K48" s="611">
        <f>K42*'Hauling Mileages'!$F$4</f>
        <v>48944</v>
      </c>
      <c r="L48" s="611">
        <f>L42*'Hauling Mileages'!$F$4</f>
        <v>50692</v>
      </c>
      <c r="M48" s="611">
        <f>M42*'Hauling Mileages'!$F$4</f>
        <v>52516</v>
      </c>
      <c r="N48" s="611">
        <f>N42*'Hauling Mileages'!$F$4</f>
        <v>54340</v>
      </c>
      <c r="O48" s="611">
        <f>O42*'Hauling Mileages'!$F$4</f>
        <v>56240</v>
      </c>
      <c r="P48" s="611">
        <f>P42*'Hauling Mileages'!$F$4</f>
        <v>58216</v>
      </c>
      <c r="Q48" s="611">
        <f>Q42*'Hauling Mileages'!$F$4</f>
        <v>60344</v>
      </c>
      <c r="R48" s="611">
        <f>R42*'Hauling Mileages'!$F$4</f>
        <v>62472</v>
      </c>
      <c r="S48" s="611">
        <f>S42*'Hauling Mileages'!$F$4</f>
        <v>64676</v>
      </c>
      <c r="T48" s="611">
        <f>T42*'Hauling Mileages'!$F$4</f>
        <v>66956</v>
      </c>
      <c r="U48" s="611">
        <f>U42*'Hauling Mileages'!$F$4</f>
        <v>69312</v>
      </c>
      <c r="V48" s="611">
        <f>V42*'Hauling Mileages'!$F$4</f>
        <v>71744</v>
      </c>
      <c r="W48" s="611">
        <f>W42*'Hauling Mileages'!$F$4</f>
        <v>74328</v>
      </c>
      <c r="X48" s="611">
        <f>X42*'Hauling Mileages'!$F$4</f>
        <v>76912</v>
      </c>
      <c r="Y48" s="611">
        <f>Y42*'Hauling Mileages'!$F$4</f>
        <v>79648</v>
      </c>
      <c r="Z48" s="611">
        <f>Z42*'Hauling Mileages'!$F$4</f>
        <v>82460</v>
      </c>
      <c r="AA48" s="611">
        <f>AA42*'Hauling Mileages'!$F$4</f>
        <v>85424</v>
      </c>
      <c r="AB48" s="611">
        <f>AB42*'Hauling Mileages'!$F$4</f>
        <v>88388</v>
      </c>
      <c r="AC48" s="611">
        <f>AC42*'Hauling Mileages'!$F$4</f>
        <v>91504</v>
      </c>
      <c r="AD48" s="611">
        <f>AD42*'Hauling Mileages'!$F$4</f>
        <v>94772</v>
      </c>
      <c r="AE48" s="611">
        <f>AE42*'Hauling Mileages'!$F$4</f>
        <v>98116</v>
      </c>
      <c r="AF48" s="611">
        <f>AF42*'Hauling Mileages'!$F$4</f>
        <v>101612</v>
      </c>
      <c r="AG48" s="611">
        <f>AG42*'Hauling Mileages'!$F$4</f>
        <v>105184</v>
      </c>
      <c r="AH48" s="611">
        <f>AH42*'Hauling Mileages'!$F$4</f>
        <v>108908</v>
      </c>
      <c r="AI48" s="611">
        <f>AI42*'Hauling Mileages'!$F$4</f>
        <v>112784</v>
      </c>
      <c r="AJ48" s="611">
        <f>AJ42*'Hauling Mileages'!$F$4</f>
        <v>116736</v>
      </c>
      <c r="AK48" s="611">
        <f>AK42*'Hauling Mileages'!$F$4</f>
        <v>120916</v>
      </c>
      <c r="AL48" s="611">
        <f>AL42*'Hauling Mileages'!$F$4</f>
        <v>125172</v>
      </c>
      <c r="AM48" s="611">
        <f>AM42*'Hauling Mileages'!$F$4</f>
        <v>129580</v>
      </c>
      <c r="AN48" s="611">
        <f>AN42*'Hauling Mileages'!$F$4</f>
        <v>134216</v>
      </c>
      <c r="AO48" s="611">
        <f>AO42*'Hauling Mileages'!$F$4</f>
        <v>138928</v>
      </c>
      <c r="AP48" s="611">
        <f>AP42*'Hauling Mileages'!$F$4</f>
        <v>143868</v>
      </c>
      <c r="AQ48" s="611">
        <f>AQ42*'Hauling Mileages'!$F$4</f>
        <v>148960</v>
      </c>
      <c r="AR48" s="611">
        <f>AR42*'Hauling Mileages'!$F$4</f>
        <v>154204</v>
      </c>
      <c r="AS48" s="611">
        <f>AS42*'Hauling Mileages'!$F$4</f>
        <v>159676</v>
      </c>
      <c r="AT48" s="611">
        <f>AT42*'Hauling Mileages'!$F$4</f>
        <v>165300</v>
      </c>
      <c r="AU48" s="611">
        <f>AU42*'Hauling Mileages'!$F$4</f>
        <v>171152</v>
      </c>
    </row>
    <row r="49" spans="1:47" s="538" customFormat="1" ht="11.5" x14ac:dyDescent="0.25">
      <c r="E49" s="613"/>
      <c r="F49" s="613"/>
    </row>
    <row r="50" spans="1:47" s="538" customFormat="1" ht="11.5" x14ac:dyDescent="0.25">
      <c r="A50" s="580" t="s">
        <v>513</v>
      </c>
      <c r="E50" s="614">
        <f t="shared" ref="E50:AU50" si="20">E11/SUM(E45:E48)</f>
        <v>0.89729796425592856</v>
      </c>
      <c r="F50" s="614">
        <f t="shared" si="20"/>
        <v>0.87505075618534145</v>
      </c>
      <c r="G50" s="614">
        <f t="shared" si="20"/>
        <v>0.81025044973395532</v>
      </c>
      <c r="H50" s="614">
        <f t="shared" si="20"/>
        <v>0.81123347513050847</v>
      </c>
      <c r="I50" s="614">
        <f t="shared" si="20"/>
        <v>0.81208617683106854</v>
      </c>
      <c r="J50" s="614">
        <f t="shared" si="20"/>
        <v>0.81279857292011326</v>
      </c>
      <c r="K50" s="614">
        <f t="shared" si="20"/>
        <v>0.81340933840614638</v>
      </c>
      <c r="L50" s="614">
        <f t="shared" si="20"/>
        <v>0.81393935470163536</v>
      </c>
      <c r="M50" s="614">
        <f t="shared" si="20"/>
        <v>0.81440839598275883</v>
      </c>
      <c r="N50" s="614">
        <f t="shared" si="20"/>
        <v>0.81500965539453973</v>
      </c>
      <c r="O50" s="614">
        <f t="shared" si="20"/>
        <v>0.81557804533297162</v>
      </c>
      <c r="P50" s="614">
        <f t="shared" si="20"/>
        <v>0.8161303064526334</v>
      </c>
      <c r="Q50" s="614">
        <f t="shared" si="20"/>
        <v>0.81633886171920267</v>
      </c>
      <c r="R50" s="614">
        <f t="shared" si="20"/>
        <v>0.81673669336649224</v>
      </c>
      <c r="S50" s="614">
        <f t="shared" si="20"/>
        <v>0.81717074724895145</v>
      </c>
      <c r="T50" s="614">
        <f t="shared" si="20"/>
        <v>0.81748554897452397</v>
      </c>
      <c r="U50" s="614">
        <f t="shared" si="20"/>
        <v>0.8178688040018679</v>
      </c>
      <c r="V50" s="614">
        <f t="shared" si="20"/>
        <v>0.81817100309076429</v>
      </c>
      <c r="W50" s="614">
        <f t="shared" si="20"/>
        <v>0.81827299057867531</v>
      </c>
      <c r="X50" s="614">
        <f t="shared" si="20"/>
        <v>0.81863136434604189</v>
      </c>
      <c r="Y50" s="614">
        <f t="shared" si="20"/>
        <v>0.81882754031609462</v>
      </c>
      <c r="Z50" s="614">
        <f t="shared" si="20"/>
        <v>0.81873360151553098</v>
      </c>
      <c r="AA50" s="614">
        <f t="shared" si="20"/>
        <v>0.8188178391537142</v>
      </c>
      <c r="AB50" s="614">
        <f t="shared" si="20"/>
        <v>0.81905945623915988</v>
      </c>
      <c r="AC50" s="614">
        <f t="shared" si="20"/>
        <v>0.81922160950591627</v>
      </c>
      <c r="AD50" s="614">
        <f t="shared" si="20"/>
        <v>0.81919569081688159</v>
      </c>
      <c r="AE50" s="614">
        <f t="shared" si="20"/>
        <v>0.81925453748598065</v>
      </c>
      <c r="AF50" s="614">
        <f t="shared" si="20"/>
        <v>0.81917262326528451</v>
      </c>
      <c r="AG50" s="614">
        <f t="shared" si="20"/>
        <v>0.81908943839514214</v>
      </c>
      <c r="AH50" s="614">
        <f t="shared" si="20"/>
        <v>0.81902809081733141</v>
      </c>
      <c r="AI50" s="614">
        <f t="shared" si="20"/>
        <v>0.81889219251431122</v>
      </c>
      <c r="AJ50" s="614">
        <f t="shared" si="20"/>
        <v>0.81891712772397263</v>
      </c>
      <c r="AK50" s="614">
        <f t="shared" si="20"/>
        <v>0.81869411397936198</v>
      </c>
      <c r="AL50" s="614">
        <f t="shared" si="20"/>
        <v>0.81845326478579872</v>
      </c>
      <c r="AM50" s="614">
        <f t="shared" si="20"/>
        <v>0.81832207515182764</v>
      </c>
      <c r="AN50" s="614">
        <f t="shared" si="20"/>
        <v>0.81802096998642504</v>
      </c>
      <c r="AO50" s="614">
        <f t="shared" si="20"/>
        <v>0.81785489613728746</v>
      </c>
      <c r="AP50" s="614">
        <f t="shared" si="20"/>
        <v>0.81747204222600856</v>
      </c>
      <c r="AQ50" s="614">
        <f t="shared" si="20"/>
        <v>0.81717158217501773</v>
      </c>
      <c r="AR50" s="614">
        <f t="shared" si="20"/>
        <v>0.81696755769510832</v>
      </c>
      <c r="AS50" s="614">
        <f t="shared" si="20"/>
        <v>0.81653087636971899</v>
      </c>
      <c r="AT50" s="614">
        <f t="shared" si="20"/>
        <v>0.81622685507986403</v>
      </c>
      <c r="AU50" s="614">
        <f t="shared" si="20"/>
        <v>0.81590793252904892</v>
      </c>
    </row>
    <row r="51" spans="1:47" s="610" customFormat="1" ht="11.5" x14ac:dyDescent="0.25">
      <c r="A51" s="580" t="s">
        <v>418</v>
      </c>
      <c r="B51" s="538"/>
      <c r="C51" s="538"/>
      <c r="D51" s="614"/>
      <c r="E51" s="614">
        <f t="shared" ref="E51:AU51" si="21">E30/SUM(E45:E48)-E50</f>
        <v>6.1934190806379004</v>
      </c>
      <c r="F51" s="614">
        <f t="shared" si="21"/>
        <v>5.8005806874996964</v>
      </c>
      <c r="G51" s="614">
        <f t="shared" si="21"/>
        <v>5.0468244393734203</v>
      </c>
      <c r="H51" s="614">
        <f t="shared" si="21"/>
        <v>5.2350480145508405</v>
      </c>
      <c r="I51" s="614">
        <f t="shared" si="21"/>
        <v>5.2516702247593399</v>
      </c>
      <c r="J51" s="614">
        <f t="shared" si="21"/>
        <v>5.2675641517609311</v>
      </c>
      <c r="K51" s="614">
        <f t="shared" si="21"/>
        <v>5.4704011260040888</v>
      </c>
      <c r="L51" s="614">
        <f t="shared" si="21"/>
        <v>5.485386762089302</v>
      </c>
      <c r="M51" s="614">
        <f t="shared" si="21"/>
        <v>5.4999738742296467</v>
      </c>
      <c r="N51" s="614">
        <f t="shared" si="21"/>
        <v>5.7203830642999067</v>
      </c>
      <c r="O51" s="614">
        <f t="shared" si="21"/>
        <v>5.7353787994185277</v>
      </c>
      <c r="P51" s="614">
        <f t="shared" si="21"/>
        <v>5.7501856500382855</v>
      </c>
      <c r="Q51" s="614">
        <f t="shared" si="21"/>
        <v>5.9878209568055993</v>
      </c>
      <c r="R51" s="614">
        <f t="shared" si="21"/>
        <v>6.0017238133376871</v>
      </c>
      <c r="S51" s="614">
        <f t="shared" si="21"/>
        <v>6.0157096429252457</v>
      </c>
      <c r="T51" s="614">
        <f t="shared" si="21"/>
        <v>6.2748095184857968</v>
      </c>
      <c r="U51" s="614">
        <f t="shared" si="21"/>
        <v>6.2884059307554772</v>
      </c>
      <c r="V51" s="614">
        <f t="shared" si="21"/>
        <v>6.3014199728991516</v>
      </c>
      <c r="W51" s="614">
        <f t="shared" si="21"/>
        <v>6.5820926335540362</v>
      </c>
      <c r="X51" s="614">
        <f t="shared" si="21"/>
        <v>6.5953109337637059</v>
      </c>
      <c r="Y51" s="614">
        <f t="shared" si="21"/>
        <v>6.607417569303971</v>
      </c>
      <c r="Z51" s="614">
        <f t="shared" si="21"/>
        <v>5.7923074004568287</v>
      </c>
      <c r="AA51" s="614">
        <f t="shared" si="21"/>
        <v>5.8033924857310257</v>
      </c>
      <c r="AB51" s="614">
        <f t="shared" si="21"/>
        <v>5.8151652488293193</v>
      </c>
      <c r="AC51" s="614">
        <f t="shared" si="21"/>
        <v>6.0440424235476478</v>
      </c>
      <c r="AD51" s="614">
        <f t="shared" si="21"/>
        <v>6.0541769388479523</v>
      </c>
      <c r="AE51" s="614">
        <f t="shared" si="21"/>
        <v>6.0646468238052957</v>
      </c>
      <c r="AF51" s="614">
        <f t="shared" si="21"/>
        <v>6.3120229076947005</v>
      </c>
      <c r="AG51" s="614">
        <f t="shared" si="21"/>
        <v>6.3214351562603266</v>
      </c>
      <c r="AH51" s="614">
        <f t="shared" si="21"/>
        <v>6.3308445544723648</v>
      </c>
      <c r="AI51" s="614">
        <f t="shared" si="21"/>
        <v>6.5994575973919725</v>
      </c>
      <c r="AJ51" s="614">
        <f t="shared" si="21"/>
        <v>5.6524797799095126</v>
      </c>
      <c r="AK51" s="614">
        <f t="shared" si="21"/>
        <v>5.6607508638880963</v>
      </c>
      <c r="AL51" s="614">
        <f t="shared" si="21"/>
        <v>5.8638451243765921</v>
      </c>
      <c r="AM51" s="614">
        <f t="shared" si="21"/>
        <v>5.8722797397045969</v>
      </c>
      <c r="AN51" s="614">
        <f t="shared" si="21"/>
        <v>5.8796928361768943</v>
      </c>
      <c r="AO51" s="614">
        <f t="shared" si="21"/>
        <v>6.1006572801127161</v>
      </c>
      <c r="AP51" s="614">
        <f t="shared" si="21"/>
        <v>6.1072752149809224</v>
      </c>
      <c r="AQ51" s="614">
        <f t="shared" si="21"/>
        <v>6.1142153637154983</v>
      </c>
      <c r="AR51" s="614">
        <f t="shared" si="21"/>
        <v>6.3540288996586458</v>
      </c>
      <c r="AS51" s="614">
        <f t="shared" si="21"/>
        <v>6.3326603146418234</v>
      </c>
      <c r="AT51" s="614">
        <f t="shared" si="21"/>
        <v>3.6292348031507915</v>
      </c>
      <c r="AU51" s="614">
        <f t="shared" si="21"/>
        <v>3.6365230128174133</v>
      </c>
    </row>
    <row r="52" spans="1:47" s="538" customFormat="1" ht="11.5" x14ac:dyDescent="0.25">
      <c r="E52" s="613"/>
      <c r="F52" s="613"/>
    </row>
    <row r="53" spans="1:47" s="538" customFormat="1" ht="11.5" x14ac:dyDescent="0.25">
      <c r="E53" s="613"/>
      <c r="F53" s="615"/>
    </row>
  </sheetData>
  <sheetProtection algorithmName="SHA-512" hashValue="g1KKoqPrFwD9PjvBmXdC0n115QPPiCoSEEJpKXgNCFkor1cj5mGcVu5SkpykXUl/IhYr44aj8ntJ4RYy2sKS4g==" saltValue="0zuXqLQSAN/Wiew8snBHaQ==" spinCount="100000" sheet="1" objects="1" scenarios="1"/>
  <printOptions gridLines="1"/>
  <pageMargins left="0.51" right="0.39" top="0.73" bottom="0.8" header="0.18" footer="0.25"/>
  <pageSetup paperSize="17" scale="37" fitToHeight="0" orientation="landscape" r:id="rId1"/>
  <headerFooter alignWithMargins="0">
    <oddFooter>&amp;L&amp;F  &amp;A
&amp;D  &amp;T</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6" tint="0.39997558519241921"/>
  </sheetPr>
  <dimension ref="A1:W50"/>
  <sheetViews>
    <sheetView topLeftCell="A6" zoomScale="55" zoomScaleNormal="55" workbookViewId="0">
      <selection activeCell="H74" sqref="H74"/>
    </sheetView>
  </sheetViews>
  <sheetFormatPr defaultColWidth="9.1796875" defaultRowHeight="14" x14ac:dyDescent="0.3"/>
  <cols>
    <col min="1" max="1" width="13.1796875" style="221" customWidth="1"/>
    <col min="2" max="2" width="15.26953125" style="221" customWidth="1"/>
    <col min="3" max="3" width="11.81640625" style="221" customWidth="1"/>
    <col min="4" max="4" width="13.54296875" style="221" bestFit="1" customWidth="1"/>
    <col min="5" max="5" width="9.1796875" style="221"/>
    <col min="6" max="6" width="21.7265625" style="221" customWidth="1"/>
    <col min="7" max="7" width="6.81640625" style="221" customWidth="1"/>
    <col min="8" max="8" width="28.453125" style="221" customWidth="1"/>
    <col min="9" max="9" width="6.54296875" style="221" customWidth="1"/>
    <col min="10" max="10" width="11.26953125" style="221" customWidth="1"/>
    <col min="11" max="11" width="15.54296875" style="221" customWidth="1"/>
    <col min="12" max="12" width="16" style="221" customWidth="1"/>
    <col min="13" max="13" width="11.81640625" style="221" customWidth="1"/>
    <col min="14" max="14" width="12" style="221" bestFit="1" customWidth="1"/>
    <col min="15" max="15" width="12.7265625" style="221" bestFit="1" customWidth="1"/>
    <col min="16" max="16" width="9.7265625" style="221" bestFit="1" customWidth="1"/>
    <col min="17" max="17" width="9.1796875" style="2"/>
    <col min="18" max="16384" width="9.1796875" style="221"/>
  </cols>
  <sheetData>
    <row r="1" spans="1:23" ht="15.5" x14ac:dyDescent="0.35">
      <c r="A1" s="218" t="s">
        <v>18</v>
      </c>
      <c r="B1" s="219"/>
      <c r="C1" s="219"/>
      <c r="D1" s="219"/>
      <c r="E1" s="219"/>
      <c r="F1" s="219"/>
      <c r="G1" s="219"/>
      <c r="H1" s="220"/>
      <c r="J1" s="222"/>
    </row>
    <row r="2" spans="1:23" ht="15.5" x14ac:dyDescent="0.35">
      <c r="A2" s="218" t="s">
        <v>21</v>
      </c>
      <c r="H2" s="223"/>
      <c r="J2" s="8"/>
    </row>
    <row r="3" spans="1:23" x14ac:dyDescent="0.3">
      <c r="A3" s="225"/>
      <c r="B3" s="226"/>
      <c r="H3" s="223"/>
      <c r="J3" s="3"/>
    </row>
    <row r="4" spans="1:23" x14ac:dyDescent="0.3">
      <c r="A4" s="225"/>
      <c r="B4" s="227"/>
      <c r="H4" s="223"/>
      <c r="J4" s="3"/>
    </row>
    <row r="5" spans="1:23" x14ac:dyDescent="0.3">
      <c r="A5" s="225"/>
      <c r="B5" s="227"/>
      <c r="H5" s="223"/>
    </row>
    <row r="6" spans="1:23" ht="14.5" thickBot="1" x14ac:dyDescent="0.35">
      <c r="A6" s="228"/>
      <c r="H6" s="223"/>
    </row>
    <row r="7" spans="1:23" ht="39" x14ac:dyDescent="0.3">
      <c r="A7" s="229" t="s">
        <v>15</v>
      </c>
      <c r="B7" s="230" t="s">
        <v>19</v>
      </c>
      <c r="C7" s="231" t="s">
        <v>20</v>
      </c>
      <c r="D7" s="231" t="s">
        <v>69</v>
      </c>
      <c r="E7" s="232" t="s">
        <v>16</v>
      </c>
      <c r="F7" s="723" t="s">
        <v>17</v>
      </c>
      <c r="G7" s="724"/>
      <c r="H7" s="725"/>
    </row>
    <row r="8" spans="1:23" x14ac:dyDescent="0.3">
      <c r="A8" s="233">
        <v>2024</v>
      </c>
      <c r="B8" s="234" t="s">
        <v>68</v>
      </c>
      <c r="C8" s="235">
        <f>E8*HLOOKUP(A8,Forecast_Landfill!$D$38:$AU$40,3,FALSE)</f>
        <v>75088.495813032438</v>
      </c>
      <c r="D8" s="236">
        <f>C8</f>
        <v>75088.495813032438</v>
      </c>
      <c r="E8" s="396">
        <v>10.36</v>
      </c>
      <c r="F8" s="237"/>
      <c r="G8" s="238"/>
      <c r="H8" s="2"/>
    </row>
    <row r="9" spans="1:23" x14ac:dyDescent="0.3">
      <c r="A9" s="233">
        <v>2025</v>
      </c>
      <c r="B9" s="239">
        <f ca="1">VLOOKUP(A9,'Capital Improvements Schedule'!$M$4:$N$51,2,FALSE)</f>
        <v>0</v>
      </c>
      <c r="C9" s="235">
        <f>E9*HLOOKUP(A9,Forecast_Landfill!$D$38:$AU$40,3,FALSE)</f>
        <v>491038.73956586764</v>
      </c>
      <c r="D9" s="236">
        <f t="shared" ref="D9:D49" ca="1" si="0">D8+C9-B9+(D8+C9/2)*Interest_LGIP</f>
        <v>566768.45111009199</v>
      </c>
      <c r="E9" s="240">
        <f>Start_Capital_Reserve_Account</f>
        <v>10.36</v>
      </c>
      <c r="F9" s="241"/>
      <c r="G9" s="241"/>
      <c r="H9" s="241"/>
      <c r="J9" s="222"/>
      <c r="K9" s="241"/>
      <c r="L9" s="241"/>
      <c r="M9" s="241"/>
    </row>
    <row r="10" spans="1:23" ht="14.25" customHeight="1" x14ac:dyDescent="0.3">
      <c r="A10" s="233">
        <v>2026</v>
      </c>
      <c r="B10" s="239">
        <f ca="1">VLOOKUP(A10,'Capital Improvements Schedule'!$M$4:$N$51,2,FALSE)</f>
        <v>0</v>
      </c>
      <c r="C10" s="235">
        <f>E10*HLOOKUP(A10,Forecast_Landfill!$D$38:$AU$40,3,FALSE)</f>
        <v>597788.37556071591</v>
      </c>
      <c r="D10" s="236">
        <f t="shared" ca="1" si="0"/>
        <v>1166288.1519485887</v>
      </c>
      <c r="E10" s="240">
        <f>E9</f>
        <v>10.36</v>
      </c>
      <c r="F10" s="242"/>
      <c r="G10" s="243" t="s">
        <v>109</v>
      </c>
      <c r="H10" s="241"/>
      <c r="J10" s="8"/>
      <c r="N10" s="244"/>
      <c r="O10" s="244"/>
      <c r="P10" s="244"/>
      <c r="R10" s="244"/>
      <c r="S10" s="244"/>
      <c r="T10" s="244"/>
      <c r="U10" s="244"/>
      <c r="V10" s="244"/>
      <c r="W10" s="244"/>
    </row>
    <row r="11" spans="1:23" x14ac:dyDescent="0.3">
      <c r="A11" s="233">
        <v>2027</v>
      </c>
      <c r="B11" s="239">
        <f ca="1">VLOOKUP(A11,'Capital Improvements Schedule'!$M$4:$N$51,2,FALSE)</f>
        <v>0</v>
      </c>
      <c r="C11" s="235">
        <f>E11*HLOOKUP(A11,Forecast_Landfill!$D$38:$AU$40,3,FALSE)</f>
        <v>669266.11978709011</v>
      </c>
      <c r="D11" s="236">
        <f t="shared" ca="1" si="0"/>
        <v>1838556.1141593631</v>
      </c>
      <c r="E11" s="240">
        <f>E10*(1+Inf)^(A11-A8)</f>
        <v>11.320651719999999</v>
      </c>
      <c r="G11" s="245" t="s">
        <v>483</v>
      </c>
      <c r="H11" s="241"/>
      <c r="J11" s="3"/>
      <c r="N11" s="244"/>
      <c r="O11" s="244"/>
      <c r="P11" s="244"/>
      <c r="R11" s="244"/>
      <c r="S11" s="244"/>
      <c r="T11" s="244"/>
      <c r="U11" s="244"/>
      <c r="V11" s="244"/>
      <c r="W11" s="244"/>
    </row>
    <row r="12" spans="1:23" x14ac:dyDescent="0.3">
      <c r="A12" s="233">
        <v>2028</v>
      </c>
      <c r="B12" s="239">
        <f ca="1">VLOOKUP(A12,'Capital Improvements Schedule'!$M$4:$N$51,2,FALSE)</f>
        <v>0</v>
      </c>
      <c r="C12" s="235">
        <f>E12*HLOOKUP(A12,Forecast_Landfill!$D$38:$AU$40,3,FALSE)</f>
        <v>685759.16676658043</v>
      </c>
      <c r="D12" s="236">
        <f t="shared" ca="1" si="0"/>
        <v>2528678.152321029</v>
      </c>
      <c r="E12" s="240">
        <f>E11</f>
        <v>11.320651719999999</v>
      </c>
      <c r="F12" s="18"/>
      <c r="G12" s="245" t="s">
        <v>111</v>
      </c>
      <c r="H12" s="241"/>
      <c r="J12" s="3"/>
      <c r="M12" s="224"/>
      <c r="N12" s="244"/>
      <c r="O12" s="244"/>
      <c r="P12" s="244"/>
      <c r="R12" s="244"/>
      <c r="S12" s="244"/>
      <c r="T12" s="244"/>
      <c r="U12" s="244"/>
      <c r="V12" s="244"/>
      <c r="W12" s="244"/>
    </row>
    <row r="13" spans="1:23" x14ac:dyDescent="0.3">
      <c r="A13" s="233">
        <v>2029</v>
      </c>
      <c r="B13" s="239">
        <f ca="1">VLOOKUP(A13,'Capital Improvements Schedule'!$M$4:$N$51,2,FALSE)</f>
        <v>0</v>
      </c>
      <c r="C13" s="235">
        <f>E13*HLOOKUP(A13,Forecast_Landfill!$D$38:$AU$40,3,FALSE)</f>
        <v>702711.64829130389</v>
      </c>
      <c r="D13" s="236">
        <f t="shared" ca="1" si="0"/>
        <v>3237149.868565266</v>
      </c>
      <c r="E13" s="240">
        <f>E12</f>
        <v>11.320651719999999</v>
      </c>
      <c r="G13" s="245" t="s">
        <v>110</v>
      </c>
      <c r="H13" s="246"/>
      <c r="I13" s="246"/>
      <c r="J13" s="246"/>
      <c r="K13" s="246"/>
      <c r="L13" s="246"/>
      <c r="M13" s="246"/>
      <c r="N13" s="246"/>
      <c r="O13" s="246"/>
      <c r="P13" s="246"/>
      <c r="R13" s="247"/>
      <c r="S13" s="247"/>
      <c r="T13" s="247"/>
      <c r="U13" s="247"/>
      <c r="V13" s="247"/>
      <c r="W13" s="247"/>
    </row>
    <row r="14" spans="1:23" x14ac:dyDescent="0.3">
      <c r="A14" s="233">
        <v>2030</v>
      </c>
      <c r="B14" s="239">
        <f ca="1">VLOOKUP(A14,'Capital Improvements Schedule'!$M$4:$N$51,2,FALSE)</f>
        <v>0</v>
      </c>
      <c r="C14" s="235">
        <f>E14*HLOOKUP(A14,Forecast_Landfill!$D$38:$AU$40,3,FALSE)</f>
        <v>786913.10513921955</v>
      </c>
      <c r="D14" s="236">
        <f t="shared" ca="1" si="0"/>
        <v>4031324.1865467555</v>
      </c>
      <c r="E14" s="240">
        <f>E13*(1+Inf)^(A14-A11)</f>
        <v>12.370381792040439</v>
      </c>
      <c r="G14" s="245" t="s">
        <v>183</v>
      </c>
      <c r="H14" s="246"/>
      <c r="I14" s="246"/>
      <c r="J14" s="246"/>
      <c r="K14" s="246"/>
      <c r="L14" s="246"/>
      <c r="M14" s="246"/>
      <c r="N14" s="246"/>
      <c r="O14" s="246"/>
      <c r="P14" s="246"/>
    </row>
    <row r="15" spans="1:23" x14ac:dyDescent="0.3">
      <c r="A15" s="233">
        <v>2031</v>
      </c>
      <c r="B15" s="239">
        <f ca="1">VLOOKUP(A15,'Capital Improvements Schedule'!$M$4:$N$51,2,FALSE)</f>
        <v>343289.99993966246</v>
      </c>
      <c r="C15" s="235">
        <f>E15*HLOOKUP(A15,Forecast_Landfill!$D$38:$AU$40,3,FALSE)</f>
        <v>806485.98243427649</v>
      </c>
      <c r="D15" s="236">
        <f t="shared" ca="1" si="0"/>
        <v>4503389.3033968974</v>
      </c>
      <c r="E15" s="240">
        <f>E14</f>
        <v>12.370381792040439</v>
      </c>
      <c r="G15" s="245" t="s">
        <v>177</v>
      </c>
      <c r="H15" s="246"/>
      <c r="I15" s="246"/>
      <c r="J15" s="246"/>
      <c r="K15" s="246"/>
      <c r="L15" s="246"/>
      <c r="M15" s="246"/>
      <c r="N15" s="246"/>
      <c r="O15" s="246"/>
      <c r="P15" s="246"/>
      <c r="R15" s="248"/>
      <c r="S15" s="248"/>
      <c r="T15" s="248"/>
      <c r="U15" s="248"/>
      <c r="V15" s="248"/>
      <c r="W15" s="248"/>
    </row>
    <row r="16" spans="1:23" x14ac:dyDescent="0.3">
      <c r="A16" s="233">
        <v>2032</v>
      </c>
      <c r="B16" s="239">
        <f ca="1">VLOOKUP(A16,'Capital Improvements Schedule'!$M$4:$N$51,2,FALSE)</f>
        <v>4640851.6866843114</v>
      </c>
      <c r="C16" s="235">
        <f>E16*HLOOKUP(A16,Forecast_Landfill!$D$38:$AU$40,3,FALSE)</f>
        <v>826606.16161875287</v>
      </c>
      <c r="D16" s="236">
        <f t="shared" ca="1" si="0"/>
        <v>698977.16309975099</v>
      </c>
      <c r="E16" s="240">
        <f>E15</f>
        <v>12.370381792040439</v>
      </c>
      <c r="F16" s="18"/>
      <c r="G16" s="249"/>
    </row>
    <row r="17" spans="1:12" x14ac:dyDescent="0.3">
      <c r="A17" s="233">
        <v>2033</v>
      </c>
      <c r="B17" s="239">
        <f ca="1">VLOOKUP(A17,'Capital Improvements Schedule'!$M$4:$N$51,2,FALSE)</f>
        <v>85545.653210770717</v>
      </c>
      <c r="C17" s="235">
        <f>E17*HLOOKUP(A17,Forecast_Landfill!$D$38:$AU$40,3,FALSE)</f>
        <v>925856.27709598409</v>
      </c>
      <c r="D17" s="236">
        <f t="shared" ca="1" si="0"/>
        <v>1541611.5975882597</v>
      </c>
      <c r="E17" s="240">
        <f>E16*(1+Inf)^(A17-A14)</f>
        <v>13.517450184470972</v>
      </c>
      <c r="F17" s="224"/>
      <c r="G17" s="250" t="s">
        <v>178</v>
      </c>
    </row>
    <row r="18" spans="1:12" x14ac:dyDescent="0.3">
      <c r="A18" s="233">
        <v>2034</v>
      </c>
      <c r="B18" s="239">
        <f ca="1">VLOOKUP(A18,'Capital Improvements Schedule'!$M$4:$N$51,2,FALSE)</f>
        <v>1156470.2993431066</v>
      </c>
      <c r="C18" s="235">
        <f>E18*HLOOKUP(A18,Forecast_Landfill!$D$38:$AU$40,3,FALSE)</f>
        <v>949091.24521129311</v>
      </c>
      <c r="D18" s="236">
        <f t="shared" ca="1" si="0"/>
        <v>1338264.8578968339</v>
      </c>
      <c r="E18" s="240">
        <f>E17</f>
        <v>13.517450184470972</v>
      </c>
      <c r="F18" s="224"/>
      <c r="G18" s="249"/>
      <c r="H18" s="241"/>
    </row>
    <row r="19" spans="1:12" x14ac:dyDescent="0.3">
      <c r="A19" s="233">
        <v>2035</v>
      </c>
      <c r="B19" s="239">
        <f ca="1">VLOOKUP(A19,'Capital Improvements Schedule'!$M$4:$N$51,2,FALSE)</f>
        <v>0</v>
      </c>
      <c r="C19" s="235">
        <f>E19*HLOOKUP(A19,Forecast_Landfill!$D$38:$AU$40,3,FALSE)</f>
        <v>972978.3391621802</v>
      </c>
      <c r="D19" s="236">
        <f t="shared" ca="1" si="0"/>
        <v>2314892.7051139697</v>
      </c>
      <c r="E19" s="240">
        <f>E18</f>
        <v>13.517450184470972</v>
      </c>
      <c r="F19" s="22"/>
      <c r="G19" s="251" t="s">
        <v>184</v>
      </c>
    </row>
    <row r="20" spans="1:12" x14ac:dyDescent="0.3">
      <c r="A20" s="233">
        <v>2036</v>
      </c>
      <c r="B20" s="239">
        <f ca="1">VLOOKUP(A20,'Capital Improvements Schedule'!$M$4:$N$51,2,FALSE)</f>
        <v>0</v>
      </c>
      <c r="C20" s="235">
        <f>E20*HLOOKUP(A20,Forecast_Landfill!$D$38:$AU$40,3,FALSE)</f>
        <v>1090035.2679477974</v>
      </c>
      <c r="D20" s="236">
        <f t="shared" ca="1" si="0"/>
        <v>3410647.7937399433</v>
      </c>
      <c r="E20" s="240">
        <f>E19*(1+Inf)^(A20-A17)</f>
        <v>14.770882787726412</v>
      </c>
      <c r="F20" s="242"/>
      <c r="G20" s="102" t="s">
        <v>259</v>
      </c>
      <c r="H20" s="103"/>
      <c r="I20" s="103"/>
      <c r="J20" s="103"/>
      <c r="K20" s="103"/>
      <c r="L20" s="103"/>
    </row>
    <row r="21" spans="1:12" x14ac:dyDescent="0.3">
      <c r="A21" s="233">
        <v>2037</v>
      </c>
      <c r="B21" s="239">
        <f ca="1">VLOOKUP(A21,'Capital Improvements Schedule'!$M$4:$N$51,2,FALSE)</f>
        <v>0</v>
      </c>
      <c r="C21" s="235">
        <f>E21*HLOOKUP(A21,Forecast_Landfill!$D$38:$AU$40,3,FALSE)</f>
        <v>1117625.8587882263</v>
      </c>
      <c r="D21" s="236">
        <f t="shared" ca="1" si="0"/>
        <v>4536212.573974438</v>
      </c>
      <c r="E21" s="240">
        <f>E20</f>
        <v>14.770882787726412</v>
      </c>
      <c r="G21" s="249"/>
    </row>
    <row r="22" spans="1:12" ht="18" x14ac:dyDescent="0.4">
      <c r="A22" s="233">
        <v>2038</v>
      </c>
      <c r="B22" s="239">
        <f ca="1">VLOOKUP(A22,'Capital Improvements Schedule'!$M$4:$N$51,2,FALSE)</f>
        <v>0</v>
      </c>
      <c r="C22" s="235">
        <f>E22*HLOOKUP(A22,Forecast_Landfill!$D$38:$AU$40,3,FALSE)</f>
        <v>1145993.6568919066</v>
      </c>
      <c r="D22" s="236">
        <f t="shared" ca="1" si="0"/>
        <v>5692424.6496711858</v>
      </c>
      <c r="E22" s="240">
        <f>E21</f>
        <v>14.770882787726412</v>
      </c>
      <c r="F22" s="18"/>
      <c r="G22" s="254" t="str">
        <f ca="1">IF(MIN($D$8:$D$50)&lt;0,"Update the rates. End-Year Fund Balance cannot be negative.","")</f>
        <v/>
      </c>
    </row>
    <row r="23" spans="1:12" x14ac:dyDescent="0.3">
      <c r="A23" s="233">
        <v>2039</v>
      </c>
      <c r="B23" s="239">
        <f ca="1">VLOOKUP(A23,'Capital Improvements Schedule'!$M$4:$N$51,2,FALSE)</f>
        <v>572970.87109090178</v>
      </c>
      <c r="C23" s="235">
        <f>E23*HLOOKUP(A23,Forecast_Landfill!$D$38:$AU$40,3,FALSE)</f>
        <v>1284130.7194030874</v>
      </c>
      <c r="D23" s="236">
        <f t="shared" ca="1" si="0"/>
        <v>6416253.4780021161</v>
      </c>
      <c r="E23" s="240">
        <f>E22*(1+Inf)^(A23-A20)</f>
        <v>16.140542435983921</v>
      </c>
      <c r="F23" s="224"/>
      <c r="G23" s="3"/>
    </row>
    <row r="24" spans="1:12" x14ac:dyDescent="0.3">
      <c r="A24" s="233">
        <v>2040</v>
      </c>
      <c r="B24" s="239">
        <f ca="1">VLOOKUP(A24,'Capital Improvements Schedule'!$M$4:$N$51,2,FALSE)</f>
        <v>7745849.9635601286</v>
      </c>
      <c r="C24" s="235">
        <f>E24*HLOOKUP(A24,Forecast_Landfill!$D$38:$AU$40,3,FALSE)</f>
        <v>1316903.2098866841</v>
      </c>
      <c r="D24" s="236">
        <f t="shared" ca="1" si="0"/>
        <v>1456.1344945624987</v>
      </c>
      <c r="E24" s="240">
        <f>E23</f>
        <v>16.140542435983921</v>
      </c>
      <c r="F24" s="224"/>
      <c r="G24" s="3"/>
    </row>
    <row r="25" spans="1:12" x14ac:dyDescent="0.3">
      <c r="A25" s="233">
        <v>2041</v>
      </c>
      <c r="B25" s="239">
        <f ca="1">VLOOKUP(A25,'Capital Improvements Schedule'!$M$4:$N$51,2,FALSE)</f>
        <v>0</v>
      </c>
      <c r="C25" s="235">
        <f>E25*HLOOKUP(A25,Forecast_Landfill!$D$38:$AU$40,3,FALSE)</f>
        <v>1025887.6355454852</v>
      </c>
      <c r="D25" s="236">
        <f t="shared" ca="1" si="0"/>
        <v>1028372.5699445823</v>
      </c>
      <c r="E25" s="396">
        <v>12.26</v>
      </c>
    </row>
    <row r="26" spans="1:12" x14ac:dyDescent="0.3">
      <c r="A26" s="233">
        <v>2042</v>
      </c>
      <c r="B26" s="239">
        <f ca="1">VLOOKUP(A26,'Capital Improvements Schedule'!$M$4:$N$51,2,FALSE)</f>
        <v>0</v>
      </c>
      <c r="C26" s="235">
        <f>E26*HLOOKUP(A26,Forecast_Landfill!$D$38:$AU$40,3,FALSE)</f>
        <v>1149777.3343923979</v>
      </c>
      <c r="D26" s="236">
        <f t="shared" ca="1" si="0"/>
        <v>2181356.4268112616</v>
      </c>
      <c r="E26" s="240">
        <f>E25*(1+Inf)^(A26-A23)</f>
        <v>13.396833019999999</v>
      </c>
    </row>
    <row r="27" spans="1:12" x14ac:dyDescent="0.3">
      <c r="A27" s="233">
        <v>2043</v>
      </c>
      <c r="B27" s="239">
        <f ca="1">VLOOKUP(A27,'Capital Improvements Schedule'!$M$4:$N$51,2,FALSE)</f>
        <v>0</v>
      </c>
      <c r="C27" s="235">
        <f>E27*HLOOKUP(A27,Forecast_Landfill!$D$38:$AU$40,3,FALSE)</f>
        <v>1179354.5914429114</v>
      </c>
      <c r="D27" s="236">
        <f t="shared" ca="1" si="0"/>
        <v>3366253.0856992383</v>
      </c>
      <c r="E27" s="240">
        <f>E26</f>
        <v>13.396833019999999</v>
      </c>
    </row>
    <row r="28" spans="1:12" x14ac:dyDescent="0.3">
      <c r="A28" s="233">
        <v>2044</v>
      </c>
      <c r="B28" s="239">
        <f ca="1">VLOOKUP(A28,'Capital Improvements Schedule'!$M$4:$N$51,2,FALSE)</f>
        <v>0</v>
      </c>
      <c r="C28" s="235">
        <f>E28*HLOOKUP(A28,Forecast_Landfill!$D$38:$AU$40,3,FALSE)</f>
        <v>1209770.965196955</v>
      </c>
      <c r="D28" s="236">
        <f t="shared" ca="1" si="0"/>
        <v>4583966.3280327888</v>
      </c>
      <c r="E28" s="240">
        <f>E27</f>
        <v>13.396833019999999</v>
      </c>
      <c r="F28" s="22"/>
    </row>
    <row r="29" spans="1:12" x14ac:dyDescent="0.3">
      <c r="A29" s="233">
        <v>2045</v>
      </c>
      <c r="B29" s="239">
        <f ca="1">VLOOKUP(A29,'Capital Improvements Schedule'!$M$4:$N$51,2,FALSE)</f>
        <v>0</v>
      </c>
      <c r="C29" s="235">
        <f>E29*HLOOKUP(A29,Forecast_Landfill!$D$38:$AU$40,3,FALSE)</f>
        <v>1356130.2253886936</v>
      </c>
      <c r="D29" s="236">
        <f t="shared" ca="1" si="0"/>
        <v>5950620.6163029363</v>
      </c>
      <c r="E29" s="240">
        <f>E28*(1+Inf)^(A29-A26)</f>
        <v>14.639081155445538</v>
      </c>
    </row>
    <row r="30" spans="1:12" x14ac:dyDescent="0.3">
      <c r="A30" s="233">
        <v>2046</v>
      </c>
      <c r="B30" s="239">
        <f ca="1">VLOOKUP(A30,'Capital Improvements Schedule'!$M$4:$N$51,2,FALSE)</f>
        <v>0</v>
      </c>
      <c r="C30" s="235">
        <f>E30*HLOOKUP(A30,Forecast_Landfill!$D$38:$AU$40,3,FALSE)</f>
        <v>1391283.0244168662</v>
      </c>
      <c r="D30" s="236">
        <f t="shared" ca="1" si="0"/>
        <v>7355196.1649768259</v>
      </c>
      <c r="E30" s="240">
        <f>E29</f>
        <v>14.639081155445538</v>
      </c>
    </row>
    <row r="31" spans="1:12" x14ac:dyDescent="0.3">
      <c r="A31" s="233">
        <v>2047</v>
      </c>
      <c r="B31" s="239">
        <f ca="1">VLOOKUP(A31,'Capital Improvements Schedule'!$M$4:$N$51,2,FALSE)</f>
        <v>0</v>
      </c>
      <c r="C31" s="235">
        <f>E31*HLOOKUP(A31,Forecast_Landfill!$D$38:$AU$40,3,FALSE)</f>
        <v>1427436.5830250238</v>
      </c>
      <c r="D31" s="236">
        <f t="shared" ca="1" si="0"/>
        <v>8798770.5769148283</v>
      </c>
      <c r="E31" s="240">
        <f>E30</f>
        <v>14.639081155445538</v>
      </c>
    </row>
    <row r="32" spans="1:12" x14ac:dyDescent="0.3">
      <c r="A32" s="233">
        <v>2048</v>
      </c>
      <c r="B32" s="239">
        <f ca="1">VLOOKUP(A32,'Capital Improvements Schedule'!$M$4:$N$51,2,FALSE)</f>
        <v>0</v>
      </c>
      <c r="C32" s="235">
        <f>E32*HLOOKUP(A32,Forecast_Landfill!$D$38:$AU$40,3,FALSE)</f>
        <v>1600430.4402662814</v>
      </c>
      <c r="D32" s="236">
        <f t="shared" ca="1" si="0"/>
        <v>10418398.988775205</v>
      </c>
      <c r="E32" s="240">
        <f>E31*(1+Inf)^(A32-A29)</f>
        <v>15.996519233746536</v>
      </c>
    </row>
    <row r="33" spans="1:5" x14ac:dyDescent="0.3">
      <c r="A33" s="233">
        <v>2049</v>
      </c>
      <c r="B33" s="239">
        <f ca="1">VLOOKUP(A33,'Capital Improvements Schedule'!$M$4:$N$51,2,FALSE)</f>
        <v>0</v>
      </c>
      <c r="C33" s="235">
        <f>E33*HLOOKUP(A33,Forecast_Landfill!$D$38:$AU$40,3,FALSE)</f>
        <v>1642221.770384297</v>
      </c>
      <c r="D33" s="236">
        <f t="shared" ca="1" si="0"/>
        <v>12083099.778907437</v>
      </c>
      <c r="E33" s="240">
        <f>E32</f>
        <v>15.996519233746536</v>
      </c>
    </row>
    <row r="34" spans="1:5" x14ac:dyDescent="0.3">
      <c r="A34" s="233">
        <v>2050</v>
      </c>
      <c r="B34" s="239">
        <f ca="1">VLOOKUP(A34,'Capital Improvements Schedule'!$M$4:$N$51,2,FALSE)</f>
        <v>0</v>
      </c>
      <c r="C34" s="235">
        <f>E34*HLOOKUP(A34,Forecast_Landfill!$D$38:$AU$40,3,FALSE)</f>
        <v>1685206.9166578201</v>
      </c>
      <c r="D34" s="236">
        <f t="shared" ca="1" si="0"/>
        <v>13794158.10203973</v>
      </c>
      <c r="E34" s="240">
        <f>E33</f>
        <v>15.996519233746536</v>
      </c>
    </row>
    <row r="35" spans="1:5" x14ac:dyDescent="0.3">
      <c r="A35" s="233">
        <v>2051</v>
      </c>
      <c r="B35" s="239">
        <f ca="1">VLOOKUP(A35,'Capital Improvements Schedule'!$M$4:$N$51,2,FALSE)</f>
        <v>966050.46353348426</v>
      </c>
      <c r="C35" s="235">
        <f>E35*HLOOKUP(A35,Forecast_Landfill!$D$38:$AU$40,3,FALSE)</f>
        <v>1889785.4192080183</v>
      </c>
      <c r="D35" s="236">
        <f t="shared" ca="1" si="0"/>
        <v>14747371.159337552</v>
      </c>
      <c r="E35" s="240">
        <f>E34*(1+Inf)^(A35-A32)</f>
        <v>17.479828472734152</v>
      </c>
    </row>
    <row r="36" spans="1:5" x14ac:dyDescent="0.3">
      <c r="A36" s="233">
        <v>2052</v>
      </c>
      <c r="B36" s="239">
        <f ca="1">VLOOKUP(A36,'Capital Improvements Schedule'!$M$4:$N$51,2,FALSE)</f>
        <v>13059794.703893293</v>
      </c>
      <c r="C36" s="235">
        <f>E36*HLOOKUP(A36,Forecast_Landfill!$D$38:$AU$40,3,FALSE)</f>
        <v>1939482.9945554386</v>
      </c>
      <c r="D36" s="236">
        <f t="shared" ca="1" si="0"/>
        <v>3658493.6753129279</v>
      </c>
      <c r="E36" s="240">
        <f>E35</f>
        <v>17.479828472734152</v>
      </c>
    </row>
    <row r="37" spans="1:5" x14ac:dyDescent="0.3">
      <c r="A37" s="233">
        <v>2053</v>
      </c>
      <c r="B37" s="239">
        <f ca="1">VLOOKUP(A37,'Capital Improvements Schedule'!$M$4:$N$51,2,FALSE)</f>
        <v>0</v>
      </c>
      <c r="C37" s="235">
        <f>E37*HLOOKUP(A37,Forecast_Landfill!$D$38:$AU$40,3,FALSE)</f>
        <v>1990605.0135487646</v>
      </c>
      <c r="D37" s="236">
        <f t="shared" ca="1" si="0"/>
        <v>5658406.2812258666</v>
      </c>
      <c r="E37" s="240">
        <f>E36</f>
        <v>17.479828472734152</v>
      </c>
    </row>
    <row r="38" spans="1:5" x14ac:dyDescent="0.3">
      <c r="A38" s="233">
        <v>2054</v>
      </c>
      <c r="B38" s="239">
        <f ca="1">VLOOKUP(A38,'Capital Improvements Schedule'!$M$4:$N$51,2,FALSE)</f>
        <v>0</v>
      </c>
      <c r="C38" s="235">
        <f>E38*HLOOKUP(A38,Forecast_Landfill!$D$38:$AU$40,3,FALSE)</f>
        <v>2232653.1727447128</v>
      </c>
      <c r="D38" s="236">
        <f t="shared" ca="1" si="0"/>
        <v>7904608.9197057756</v>
      </c>
      <c r="E38" s="240">
        <f>E37*(1+Inf)^(A38-A35)</f>
        <v>19.100680527525373</v>
      </c>
    </row>
    <row r="39" spans="1:5" x14ac:dyDescent="0.3">
      <c r="A39" s="233">
        <v>2055</v>
      </c>
      <c r="B39" s="239">
        <f ca="1">VLOOKUP(A39,'Capital Improvements Schedule'!$M$4:$N$51,2,FALSE)</f>
        <v>0</v>
      </c>
      <c r="C39" s="235">
        <f>E39*HLOOKUP(A39,Forecast_Landfill!$D$38:$AU$40,3,FALSE)</f>
        <v>2291769.2328695613</v>
      </c>
      <c r="D39" s="236">
        <f t="shared" ca="1" si="0"/>
        <v>10214479.139647618</v>
      </c>
      <c r="E39" s="240">
        <f>E38</f>
        <v>19.100680527525373</v>
      </c>
    </row>
    <row r="40" spans="1:5" x14ac:dyDescent="0.3">
      <c r="A40" s="233">
        <v>2056</v>
      </c>
      <c r="B40" s="239">
        <f ca="1">VLOOKUP(A40,'Capital Improvements Schedule'!$M$4:$N$51,2,FALSE)</f>
        <v>0</v>
      </c>
      <c r="C40" s="235">
        <f>E40*HLOOKUP(A40,Forecast_Landfill!$D$38:$AU$40,3,FALSE)</f>
        <v>2352585.3090688586</v>
      </c>
      <c r="D40" s="236">
        <f t="shared" ca="1" si="0"/>
        <v>12589845.992304841</v>
      </c>
      <c r="E40" s="240">
        <f>E39</f>
        <v>19.100680527525373</v>
      </c>
    </row>
    <row r="41" spans="1:5" x14ac:dyDescent="0.3">
      <c r="A41" s="233">
        <v>2057</v>
      </c>
      <c r="B41" s="239">
        <f ca="1">VLOOKUP(A41,'Capital Improvements Schedule'!$M$4:$N$51,2,FALSE)</f>
        <v>0</v>
      </c>
      <c r="C41" s="235">
        <f>E41*HLOOKUP(A41,Forecast_Landfill!$D$38:$AU$40,3,FALSE)</f>
        <v>2639102.019677096</v>
      </c>
      <c r="D41" s="236">
        <f t="shared" ca="1" si="0"/>
        <v>15256766.805986226</v>
      </c>
      <c r="E41" s="240">
        <f>E40*(1+Inf)^(A41-A38)</f>
        <v>20.871829330801219</v>
      </c>
    </row>
    <row r="42" spans="1:5" x14ac:dyDescent="0.3">
      <c r="A42" s="233">
        <v>2058</v>
      </c>
      <c r="B42" s="239">
        <f ca="1">VLOOKUP(A42,'Capital Improvements Schedule'!$M$4:$N$51,2,FALSE)</f>
        <v>0</v>
      </c>
      <c r="C42" s="235">
        <f>E42*HLOOKUP(A42,Forecast_Landfill!$D$38:$AU$40,3,FALSE)</f>
        <v>2709440.9362012129</v>
      </c>
      <c r="D42" s="236">
        <f t="shared" ca="1" si="0"/>
        <v>17999430.716735613</v>
      </c>
      <c r="E42" s="240">
        <f>E41</f>
        <v>20.871829330801219</v>
      </c>
    </row>
    <row r="43" spans="1:5" x14ac:dyDescent="0.3">
      <c r="A43" s="233">
        <v>2059</v>
      </c>
      <c r="B43" s="239">
        <f ca="1">VLOOKUP(A43,'Capital Improvements Schedule'!$M$4:$N$51,2,FALSE)</f>
        <v>0</v>
      </c>
      <c r="C43" s="235">
        <f>E43*HLOOKUP(A43,Forecast_Landfill!$D$38:$AU$40,3,FALSE)</f>
        <v>2781809.2193672373</v>
      </c>
      <c r="D43" s="236">
        <f t="shared" ca="1" si="0"/>
        <v>20820020.606755689</v>
      </c>
      <c r="E43" s="240">
        <f>E42</f>
        <v>20.871829330801219</v>
      </c>
    </row>
    <row r="44" spans="1:5" x14ac:dyDescent="0.3">
      <c r="A44" s="233">
        <v>2060</v>
      </c>
      <c r="B44" s="239">
        <f ca="1">VLOOKUP(A44,'Capital Improvements Schedule'!$M$4:$N$51,2,FALSE)</f>
        <v>0</v>
      </c>
      <c r="C44" s="235">
        <f>E44*HLOOKUP(A44,Forecast_Landfill!$D$38:$AU$40,3,FALSE)</f>
        <v>3121120.8031045753</v>
      </c>
      <c r="D44" s="236">
        <f t="shared" ca="1" si="0"/>
        <v>23985902.57187688</v>
      </c>
      <c r="E44" s="240">
        <f>E43*(1+Inf)^(A44-A41)</f>
        <v>22.807211449158423</v>
      </c>
    </row>
    <row r="45" spans="1:5" x14ac:dyDescent="0.3">
      <c r="A45" s="233">
        <v>2061</v>
      </c>
      <c r="B45" s="239">
        <f ca="1">VLOOKUP(A45,'Capital Improvements Schedule'!$M$4:$N$51,2,FALSE)</f>
        <v>0</v>
      </c>
      <c r="C45" s="235">
        <f>E45*HLOOKUP(A45,Forecast_Landfill!$D$38:$AU$40,3,FALSE)</f>
        <v>3204836.0366633106</v>
      </c>
      <c r="D45" s="236">
        <f t="shared" ca="1" si="0"/>
        <v>27241915.249720611</v>
      </c>
      <c r="E45" s="240">
        <f>E44</f>
        <v>22.807211449158423</v>
      </c>
    </row>
    <row r="46" spans="1:5" x14ac:dyDescent="0.3">
      <c r="A46" s="233">
        <v>2062</v>
      </c>
      <c r="B46" s="239">
        <f ca="1">VLOOKUP(A46,'Capital Improvements Schedule'!$M$4:$N$51,2,FALSE)</f>
        <v>0</v>
      </c>
      <c r="C46" s="235">
        <f>E46*HLOOKUP(A46,Forecast_Landfill!$D$38:$AU$40,3,FALSE)</f>
        <v>3290974.3489565607</v>
      </c>
      <c r="D46" s="236">
        <f t="shared" ca="1" si="0"/>
        <v>30590664.403525572</v>
      </c>
      <c r="E46" s="240">
        <f>E45</f>
        <v>22.807211449158423</v>
      </c>
    </row>
    <row r="47" spans="1:5" x14ac:dyDescent="0.3">
      <c r="A47" s="233">
        <v>2063</v>
      </c>
      <c r="B47" s="239">
        <f ca="1">VLOOKUP(A47,'Capital Improvements Schedule'!$M$4:$N$51,2,FALSE)</f>
        <v>0</v>
      </c>
      <c r="C47" s="235">
        <f>E47*HLOOKUP(A47,Forecast_Landfill!$D$38:$AU$40,3,FALSE)</f>
        <v>3692989.4878827599</v>
      </c>
      <c r="D47" s="236">
        <f t="shared" ca="1" si="0"/>
        <v>34348528.209703267</v>
      </c>
      <c r="E47" s="240">
        <f>E46*(1+Inf)^(A47-A44)</f>
        <v>24.922055745204535</v>
      </c>
    </row>
    <row r="48" spans="1:5" x14ac:dyDescent="0.3">
      <c r="A48" s="233">
        <v>2064</v>
      </c>
      <c r="B48" s="239">
        <f ca="1">VLOOKUP(A48,'Capital Improvements Schedule'!$M$4:$N$51,2,FALSE)</f>
        <v>0</v>
      </c>
      <c r="C48" s="235">
        <f>E48*HLOOKUP(A48,Forecast_Landfill!$D$38:$AU$40,3,FALSE)</f>
        <v>3792651.7471463871</v>
      </c>
      <c r="D48" s="236">
        <f t="shared" ca="1" si="0"/>
        <v>38213669.665016212</v>
      </c>
      <c r="E48" s="240">
        <f>E47</f>
        <v>24.922055745204535</v>
      </c>
    </row>
    <row r="49" spans="1:6" x14ac:dyDescent="0.3">
      <c r="A49" s="233">
        <v>2065</v>
      </c>
      <c r="B49" s="239">
        <f ca="1">VLOOKUP(A49,'Capital Improvements Schedule'!$M$4:$N$51,2,FALSE)</f>
        <v>3185645.7086252766</v>
      </c>
      <c r="C49" s="235">
        <f>E49*HLOOKUP(A49,Forecast_Landfill!$D$38:$AU$40,3,FALSE)</f>
        <v>3895207.8418087335</v>
      </c>
      <c r="D49" s="236">
        <f t="shared" ca="1" si="0"/>
        <v>39003554.345371507</v>
      </c>
      <c r="E49" s="240">
        <f>E48</f>
        <v>24.922055745204535</v>
      </c>
    </row>
    <row r="50" spans="1:6" x14ac:dyDescent="0.3">
      <c r="A50" s="233">
        <v>2066</v>
      </c>
      <c r="B50" s="239">
        <f ca="1">VLOOKUP(A50,'Capital Improvements Schedule'!$M$4:$N$51,2,FALSE)</f>
        <v>43065947.923477963</v>
      </c>
      <c r="C50" s="235">
        <f>E50*HLOOKUP(A50,Forecast_Landfill!$D$38:$AU$40,3,FALSE)</f>
        <v>3981151.2832406047</v>
      </c>
      <c r="D50" s="524">
        <f ca="1">D49+C50-B50+(D49+C50/2)*Interest_LGIP</f>
        <v>745.96510812953056</v>
      </c>
      <c r="E50" s="396">
        <v>24.8</v>
      </c>
      <c r="F50" s="7" t="s">
        <v>176</v>
      </c>
    </row>
  </sheetData>
  <sheetProtection algorithmName="SHA-512" hashValue="nGNZf1noB8EWQo57PvIQ3mXZY5WoFEWiylSmSd1xfBBLXLdyVm+bU/89MNEOvIdxkllznlBtVtZhVnJzjdtgyQ==" saltValue="ot1EP+dENuWhMRC8AyGgrw==" spinCount="100000" sheet="1" objects="1" scenarios="1"/>
  <mergeCells count="1">
    <mergeCell ref="F7:H7"/>
  </mergeCells>
  <pageMargins left="0.7" right="0.7"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45" r:id="rId4" name="Button 5">
              <controlPr defaultSize="0" print="0" autoFill="0" autoPict="0" macro="[0]!Plus_Penny">
                <anchor moveWithCells="1">
                  <from>
                    <xdr:col>7</xdr:col>
                    <xdr:colOff>838200</xdr:colOff>
                    <xdr:row>6</xdr:row>
                    <xdr:rowOff>146050</xdr:rowOff>
                  </from>
                  <to>
                    <xdr:col>7</xdr:col>
                    <xdr:colOff>1479550</xdr:colOff>
                    <xdr:row>6</xdr:row>
                    <xdr:rowOff>438150</xdr:rowOff>
                  </to>
                </anchor>
              </controlPr>
            </control>
          </mc:Choice>
        </mc:AlternateContent>
        <mc:AlternateContent xmlns:mc="http://schemas.openxmlformats.org/markup-compatibility/2006">
          <mc:Choice Requires="x14">
            <control shapeId="61446" r:id="rId5" name="Button 6">
              <controlPr defaultSize="0" print="0" autoFill="0" autoPict="0" macro="[0]!Minus_Penny">
                <anchor moveWithCells="1">
                  <from>
                    <xdr:col>7</xdr:col>
                    <xdr:colOff>1600200</xdr:colOff>
                    <xdr:row>6</xdr:row>
                    <xdr:rowOff>152400</xdr:rowOff>
                  </from>
                  <to>
                    <xdr:col>7</xdr:col>
                    <xdr:colOff>2241550</xdr:colOff>
                    <xdr:row>6</xdr:row>
                    <xdr:rowOff>457200</xdr:rowOff>
                  </to>
                </anchor>
              </controlPr>
            </control>
          </mc:Choice>
        </mc:AlternateContent>
        <mc:AlternateContent xmlns:mc="http://schemas.openxmlformats.org/markup-compatibility/2006">
          <mc:Choice Requires="x14">
            <control shapeId="61448" r:id="rId6" name="Button 8">
              <controlPr defaultSize="0" print="0" autoFill="0" autoPict="0" macro="[0]!Set_Rate">
                <anchor moveWithCells="1">
                  <from>
                    <xdr:col>6</xdr:col>
                    <xdr:colOff>298450</xdr:colOff>
                    <xdr:row>6</xdr:row>
                    <xdr:rowOff>152400</xdr:rowOff>
                  </from>
                  <to>
                    <xdr:col>7</xdr:col>
                    <xdr:colOff>679450</xdr:colOff>
                    <xdr:row>6</xdr:row>
                    <xdr:rowOff>469900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1D1F-CBBC-484B-A680-0323374C6DE9}">
  <sheetPr codeName="Sheet6">
    <tabColor theme="6" tint="0.39997558519241921"/>
  </sheetPr>
  <dimension ref="A1:O83"/>
  <sheetViews>
    <sheetView topLeftCell="A62" workbookViewId="0">
      <selection activeCell="D71" sqref="D71"/>
    </sheetView>
  </sheetViews>
  <sheetFormatPr defaultColWidth="9.1796875" defaultRowHeight="12.5" x14ac:dyDescent="0.25"/>
  <cols>
    <col min="1" max="1" width="15.1796875" style="2" customWidth="1"/>
    <col min="2" max="2" width="12.453125" style="2" bestFit="1" customWidth="1"/>
    <col min="3" max="3" width="12.7265625" style="2" customWidth="1"/>
    <col min="4" max="4" width="14.453125" style="2" customWidth="1"/>
    <col min="5" max="5" width="7.26953125" style="2" bestFit="1" customWidth="1"/>
    <col min="6" max="6" width="19.54296875" style="2" bestFit="1" customWidth="1"/>
    <col min="7" max="7" width="12.453125" style="2" bestFit="1" customWidth="1"/>
    <col min="8" max="16384" width="9.1796875" style="2"/>
  </cols>
  <sheetData>
    <row r="1" spans="1:15" ht="15.5" x14ac:dyDescent="0.35">
      <c r="A1" s="218" t="s">
        <v>97</v>
      </c>
      <c r="B1" s="219"/>
      <c r="C1" s="219"/>
      <c r="D1" s="219"/>
      <c r="E1" s="219"/>
      <c r="F1" s="219"/>
      <c r="G1" s="219"/>
      <c r="H1" s="220"/>
    </row>
    <row r="2" spans="1:15" ht="15.5" x14ac:dyDescent="0.35">
      <c r="A2" s="218" t="s">
        <v>21</v>
      </c>
      <c r="B2" s="221"/>
      <c r="C2" s="221"/>
      <c r="D2" s="221"/>
      <c r="E2" s="221"/>
      <c r="F2" s="221"/>
      <c r="G2" s="221"/>
      <c r="H2" s="223"/>
    </row>
    <row r="3" spans="1:15" ht="14" x14ac:dyDescent="0.3">
      <c r="A3" s="221"/>
      <c r="B3" s="221"/>
      <c r="C3" s="221"/>
      <c r="D3" s="221"/>
      <c r="E3" s="221"/>
      <c r="F3" s="221"/>
      <c r="G3" s="221"/>
      <c r="H3" s="223"/>
    </row>
    <row r="4" spans="1:15" ht="14" x14ac:dyDescent="0.3">
      <c r="A4" s="21"/>
      <c r="B4" s="221"/>
      <c r="C4" s="221"/>
      <c r="D4" s="221"/>
      <c r="E4" s="221"/>
      <c r="F4" s="221"/>
      <c r="G4" s="221"/>
      <c r="H4" s="223"/>
    </row>
    <row r="5" spans="1:15" ht="14" x14ac:dyDescent="0.3">
      <c r="A5" s="225"/>
      <c r="B5" s="226"/>
      <c r="C5" s="221"/>
      <c r="D5" s="221"/>
      <c r="E5" s="221"/>
      <c r="F5" s="221"/>
      <c r="G5" s="221"/>
      <c r="H5" s="223"/>
    </row>
    <row r="6" spans="1:15" ht="14" x14ac:dyDescent="0.3">
      <c r="A6" s="225"/>
      <c r="B6" s="227"/>
      <c r="C6" s="221"/>
      <c r="D6" s="221"/>
      <c r="E6" s="221"/>
      <c r="F6" s="221"/>
      <c r="G6" s="221"/>
      <c r="H6" s="223"/>
    </row>
    <row r="7" spans="1:15" ht="14" x14ac:dyDescent="0.3">
      <c r="A7" s="225"/>
      <c r="B7" s="227"/>
      <c r="C7" s="221"/>
      <c r="D7" s="221"/>
      <c r="E7" s="221"/>
      <c r="F7" s="221"/>
      <c r="G7" s="221"/>
      <c r="H7" s="223"/>
    </row>
    <row r="8" spans="1:15" ht="14.5" thickBot="1" x14ac:dyDescent="0.35">
      <c r="A8" s="228"/>
      <c r="B8" s="221"/>
      <c r="C8" s="221"/>
      <c r="D8" s="221"/>
      <c r="E8" s="221"/>
      <c r="F8" s="221"/>
      <c r="G8" s="221"/>
      <c r="H8" s="223"/>
    </row>
    <row r="9" spans="1:15" ht="26" x14ac:dyDescent="0.3">
      <c r="A9" s="229" t="s">
        <v>15</v>
      </c>
      <c r="B9" s="230" t="s">
        <v>94</v>
      </c>
      <c r="C9" s="231" t="s">
        <v>20</v>
      </c>
      <c r="D9" s="231" t="s">
        <v>69</v>
      </c>
      <c r="E9" s="232" t="s">
        <v>16</v>
      </c>
      <c r="F9" s="723" t="s">
        <v>17</v>
      </c>
      <c r="G9" s="724"/>
      <c r="H9" s="725"/>
    </row>
    <row r="10" spans="1:15" x14ac:dyDescent="0.25">
      <c r="A10" s="252">
        <v>2024</v>
      </c>
      <c r="B10" s="239">
        <f ca="1">VLOOKUP(A10,'Capital Improvements Schedule'!$M$4:$O$51,3,FALSE)</f>
        <v>0</v>
      </c>
      <c r="C10" s="235">
        <f>E10*HLOOKUP(A10,Forecast_Landfill!$E$38:$AU$40,3,FALSE)</f>
        <v>51170.345602317473</v>
      </c>
      <c r="D10" s="236">
        <f>C10</f>
        <v>51170.345602317473</v>
      </c>
      <c r="E10" s="240">
        <v>7.06</v>
      </c>
      <c r="F10" s="3"/>
      <c r="G10" s="253"/>
      <c r="H10" s="3"/>
    </row>
    <row r="11" spans="1:15" x14ac:dyDescent="0.25">
      <c r="A11" s="252">
        <v>2025</v>
      </c>
      <c r="B11" s="239">
        <f ca="1">VLOOKUP(A11,'Capital Improvements Schedule'!$M$4:$O$51,3,FALSE)</f>
        <v>0</v>
      </c>
      <c r="C11" s="235">
        <f>E11*HLOOKUP(A11,Forecast_Landfill!$E$38:$AU$40,3,FALSE)</f>
        <v>334626.78584314918</v>
      </c>
      <c r="D11" s="236">
        <f t="shared" ref="D11:D42" ca="1" si="0">D10+C11-B11+(D10+C11/2)*Interest_LGIP</f>
        <v>386234.09892251441</v>
      </c>
      <c r="E11" s="240">
        <f>Start_Closure_Account</f>
        <v>7.06</v>
      </c>
    </row>
    <row r="12" spans="1:15" x14ac:dyDescent="0.25">
      <c r="A12" s="252">
        <v>2026</v>
      </c>
      <c r="B12" s="239">
        <f ca="1">VLOOKUP(A12,'Capital Improvements Schedule'!$M$4:$O$51,3,FALSE)</f>
        <v>0</v>
      </c>
      <c r="C12" s="235">
        <f>E12*HLOOKUP(A12,Forecast_Landfill!$E$38:$AU$40,3,FALSE)</f>
        <v>407373.15940720605</v>
      </c>
      <c r="D12" s="236">
        <f t="shared" ca="1" si="0"/>
        <v>794787.09968697268</v>
      </c>
      <c r="E12" s="240">
        <f>E11</f>
        <v>7.06</v>
      </c>
    </row>
    <row r="13" spans="1:15" x14ac:dyDescent="0.25">
      <c r="A13" s="252">
        <v>2027</v>
      </c>
      <c r="B13" s="239">
        <f ca="1">VLOOKUP(A13,'Capital Improvements Schedule'!$M$4:$O$51,3,FALSE)</f>
        <v>0</v>
      </c>
      <c r="C13" s="235">
        <f>E13*HLOOKUP(A13,Forecast_Landfill!$E$38:$AU$40,3,FALSE)</f>
        <v>456082.89630278538</v>
      </c>
      <c r="D13" s="236">
        <f t="shared" ca="1" si="0"/>
        <v>1252915.6530854348</v>
      </c>
      <c r="E13" s="240">
        <f>E12*(1+Inf)^(A13-A10)</f>
        <v>7.7146526199999998</v>
      </c>
    </row>
    <row r="14" spans="1:15" x14ac:dyDescent="0.25">
      <c r="A14" s="252">
        <v>2028</v>
      </c>
      <c r="B14" s="239">
        <f ca="1">VLOOKUP(A14,'Capital Improvements Schedule'!$M$4:$O$51,3,FALSE)</f>
        <v>0</v>
      </c>
      <c r="C14" s="235">
        <f>E14*HLOOKUP(A14,Forecast_Landfill!$E$38:$AU$40,3,FALSE)</f>
        <v>467322.36654170445</v>
      </c>
      <c r="D14" s="236">
        <f t="shared" ca="1" si="0"/>
        <v>1723211.1732998518</v>
      </c>
      <c r="E14" s="240">
        <f>E13</f>
        <v>7.7146526199999998</v>
      </c>
      <c r="G14" s="251" t="s">
        <v>184</v>
      </c>
    </row>
    <row r="15" spans="1:15" x14ac:dyDescent="0.25">
      <c r="A15" s="252">
        <v>2029</v>
      </c>
      <c r="B15" s="239">
        <f ca="1">VLOOKUP(A15,'Capital Improvements Schedule'!$M$4:$O$51,3,FALSE)</f>
        <v>0</v>
      </c>
      <c r="C15" s="235">
        <f>E15*HLOOKUP(A15,Forecast_Landfill!$E$38:$AU$40,3,FALSE)</f>
        <v>478874.92634523223</v>
      </c>
      <c r="D15" s="236">
        <f t="shared" ca="1" si="0"/>
        <v>2206011.3969180291</v>
      </c>
      <c r="E15" s="240">
        <f>E14</f>
        <v>7.7146526199999998</v>
      </c>
      <c r="G15" s="102" t="s">
        <v>259</v>
      </c>
      <c r="H15" s="104"/>
      <c r="I15" s="104"/>
      <c r="J15" s="104"/>
      <c r="K15" s="104"/>
      <c r="L15" s="104"/>
      <c r="M15" s="104"/>
      <c r="N15" s="104"/>
      <c r="O15" s="104"/>
    </row>
    <row r="16" spans="1:15" x14ac:dyDescent="0.25">
      <c r="A16" s="252">
        <v>2030</v>
      </c>
      <c r="B16" s="239">
        <f ca="1">VLOOKUP(A16,'Capital Improvements Schedule'!$M$4:$O$51,3,FALSE)</f>
        <v>0</v>
      </c>
      <c r="C16" s="235">
        <f>E16*HLOOKUP(A16,Forecast_Landfill!$E$38:$AU$40,3,FALSE)</f>
        <v>536255.4558188119</v>
      </c>
      <c r="D16" s="236">
        <f t="shared" ca="1" si="0"/>
        <v>2747215.1309864959</v>
      </c>
      <c r="E16" s="240">
        <f>E15*(1+Inf)^(A16-A13)</f>
        <v>8.4300092134947402</v>
      </c>
    </row>
    <row r="17" spans="1:7" ht="15" customHeight="1" x14ac:dyDescent="0.4">
      <c r="A17" s="252">
        <v>2031</v>
      </c>
      <c r="B17" s="239">
        <f ca="1">VLOOKUP(A17,'Capital Improvements Schedule'!$M$4:$O$51,3,FALSE)</f>
        <v>0</v>
      </c>
      <c r="C17" s="235">
        <f>E17*HLOOKUP(A17,Forecast_Landfill!$E$38:$AU$40,3,FALSE)</f>
        <v>549593.72934227728</v>
      </c>
      <c r="D17" s="236">
        <f t="shared" ca="1" si="0"/>
        <v>3302852.8843200882</v>
      </c>
      <c r="E17" s="240">
        <f>E16</f>
        <v>8.4300092134947402</v>
      </c>
      <c r="G17" s="254" t="str">
        <f ca="1">IF(MIN($D$10:$D$83)&lt;0,"Update the rates. End-Year Fund Balance cannot be negative.","")</f>
        <v/>
      </c>
    </row>
    <row r="18" spans="1:7" x14ac:dyDescent="0.25">
      <c r="A18" s="252">
        <v>2032</v>
      </c>
      <c r="B18" s="239">
        <f ca="1">VLOOKUP(A18,'Capital Improvements Schedule'!$M$4:$O$51,3,FALSE)</f>
        <v>0</v>
      </c>
      <c r="C18" s="235">
        <f>E18*HLOOKUP(A18,Forecast_Landfill!$E$38:$AU$40,3,FALSE)</f>
        <v>563304.97114173707</v>
      </c>
      <c r="D18" s="236">
        <f t="shared" ca="1" si="0"/>
        <v>3873326.866201607</v>
      </c>
      <c r="E18" s="240">
        <f>E17</f>
        <v>8.4300092134947402</v>
      </c>
    </row>
    <row r="19" spans="1:7" x14ac:dyDescent="0.25">
      <c r="A19" s="252">
        <v>2033</v>
      </c>
      <c r="B19" s="239">
        <f ca="1">VLOOKUP(A19,'Capital Improvements Schedule'!$M$4:$O$51,3,FALSE)</f>
        <v>0</v>
      </c>
      <c r="C19" s="235">
        <f>E19*HLOOKUP(A19,Forecast_Landfill!$E$38:$AU$40,3,FALSE)</f>
        <v>630940.66759629827</v>
      </c>
      <c r="D19" s="236">
        <f t="shared" ca="1" si="0"/>
        <v>4512645.1281979047</v>
      </c>
      <c r="E19" s="240">
        <f>E18*(1+Inf)^(A19-A16)</f>
        <v>9.2116986778344678</v>
      </c>
    </row>
    <row r="20" spans="1:7" x14ac:dyDescent="0.25">
      <c r="A20" s="252">
        <v>2034</v>
      </c>
      <c r="B20" s="239">
        <f ca="1">VLOOKUP(A20,'Capital Improvements Schedule'!$M$4:$O$51,3,FALSE)</f>
        <v>0</v>
      </c>
      <c r="C20" s="235">
        <f>E20*HLOOKUP(A20,Forecast_Landfill!$E$38:$AU$40,3,FALSE)</f>
        <v>646774.53582931764</v>
      </c>
      <c r="D20" s="236">
        <f t="shared" ca="1" si="0"/>
        <v>5169091.7288194476</v>
      </c>
      <c r="E20" s="240">
        <f>E19</f>
        <v>9.2116986778344678</v>
      </c>
    </row>
    <row r="21" spans="1:7" x14ac:dyDescent="0.25">
      <c r="A21" s="252">
        <v>2035</v>
      </c>
      <c r="B21" s="239">
        <f ca="1">VLOOKUP(A21,'Capital Improvements Schedule'!$M$4:$O$51,3,FALSE)</f>
        <v>0</v>
      </c>
      <c r="C21" s="235">
        <f>E21*HLOOKUP(A21,Forecast_Landfill!$E$38:$AU$40,3,FALSE)</f>
        <v>663052.80641747045</v>
      </c>
      <c r="D21" s="236">
        <f t="shared" ca="1" si="0"/>
        <v>5843145.7715009749</v>
      </c>
      <c r="E21" s="240">
        <f>E20</f>
        <v>9.2116986778344678</v>
      </c>
    </row>
    <row r="22" spans="1:7" x14ac:dyDescent="0.25">
      <c r="A22" s="252">
        <v>2036</v>
      </c>
      <c r="B22" s="239">
        <f ca="1">VLOOKUP(A22,'Capital Improvements Schedule'!$M$4:$O$51,3,FALSE)</f>
        <v>0</v>
      </c>
      <c r="C22" s="235">
        <f>E22*HLOOKUP(A22,Forecast_Landfill!$E$38:$AU$40,3,FALSE)</f>
        <v>742823.2617482096</v>
      </c>
      <c r="D22" s="236">
        <f t="shared" ca="1" si="0"/>
        <v>6598398.1480539348</v>
      </c>
      <c r="E22" s="240">
        <f>E21*(1+Inf)^(A22-A19)</f>
        <v>10.065871861134024</v>
      </c>
    </row>
    <row r="23" spans="1:7" x14ac:dyDescent="0.25">
      <c r="A23" s="252">
        <v>2037</v>
      </c>
      <c r="B23" s="239">
        <f ca="1">VLOOKUP(A23,'Capital Improvements Schedule'!$M$4:$O$51,3,FALSE)</f>
        <v>0</v>
      </c>
      <c r="C23" s="235">
        <f>E23*HLOOKUP(A23,Forecast_Landfill!$E$38:$AU$40,3,FALSE)</f>
        <v>761625.34392325091</v>
      </c>
      <c r="D23" s="236">
        <f t="shared" ca="1" si="0"/>
        <v>7373981.913617217</v>
      </c>
      <c r="E23" s="240">
        <f>E22</f>
        <v>10.065871861134024</v>
      </c>
    </row>
    <row r="24" spans="1:7" x14ac:dyDescent="0.25">
      <c r="A24" s="252">
        <v>2038</v>
      </c>
      <c r="B24" s="239">
        <f ca="1">VLOOKUP(A24,'Capital Improvements Schedule'!$M$4:$O$51,3,FALSE)</f>
        <v>0</v>
      </c>
      <c r="C24" s="235">
        <f>E24*HLOOKUP(A24,Forecast_Landfill!$E$38:$AU$40,3,FALSE)</f>
        <v>780957.06734139589</v>
      </c>
      <c r="D24" s="236">
        <f t="shared" ca="1" si="0"/>
        <v>8170467.9018531889</v>
      </c>
      <c r="E24" s="240">
        <f>E23</f>
        <v>10.065871861134024</v>
      </c>
    </row>
    <row r="25" spans="1:7" x14ac:dyDescent="0.25">
      <c r="A25" s="252">
        <v>2039</v>
      </c>
      <c r="B25" s="239">
        <f ca="1">VLOOKUP(A25,'Capital Improvements Schedule'!$M$4:$O$51,3,FALSE)</f>
        <v>0</v>
      </c>
      <c r="C25" s="235">
        <f>E25*HLOOKUP(A25,Forecast_Landfill!$E$38:$AU$40,3,FALSE)</f>
        <v>875092.94198704616</v>
      </c>
      <c r="D25" s="236">
        <f t="shared" ca="1" si="0"/>
        <v>9062776.8725859299</v>
      </c>
      <c r="E25" s="240">
        <f>E24*(1+Inf)^(A25-A22)</f>
        <v>10.999249961201398</v>
      </c>
    </row>
    <row r="26" spans="1:7" x14ac:dyDescent="0.25">
      <c r="A26" s="252">
        <v>2040</v>
      </c>
      <c r="B26" s="239">
        <f ca="1">VLOOKUP(A26,'Capital Improvements Schedule'!$M$4:$O$51,3,FALSE)</f>
        <v>0</v>
      </c>
      <c r="C26" s="235">
        <f>E26*HLOOKUP(A26,Forecast_Landfill!$E$38:$AU$40,3,FALSE)</f>
        <v>897426.31870656274</v>
      </c>
      <c r="D26" s="236">
        <f t="shared" ca="1" si="0"/>
        <v>9979226.1713563707</v>
      </c>
      <c r="E26" s="240">
        <f>E25</f>
        <v>10.999249961201398</v>
      </c>
    </row>
    <row r="27" spans="1:7" x14ac:dyDescent="0.25">
      <c r="A27" s="252">
        <v>2041</v>
      </c>
      <c r="B27" s="239">
        <f ca="1">VLOOKUP(A27,'Capital Improvements Schedule'!$M$4:$O$51,3,FALSE)</f>
        <v>0</v>
      </c>
      <c r="C27" s="235">
        <f>E27*HLOOKUP(A27,Forecast_Landfill!$E$38:$AU$40,3,FALSE)</f>
        <v>920391.0714087009</v>
      </c>
      <c r="D27" s="236">
        <f t="shared" ca="1" si="0"/>
        <v>10920496.086179193</v>
      </c>
      <c r="E27" s="240">
        <f>E26</f>
        <v>10.999249961201398</v>
      </c>
    </row>
    <row r="28" spans="1:7" x14ac:dyDescent="0.25">
      <c r="A28" s="252">
        <v>2042</v>
      </c>
      <c r="B28" s="239">
        <f ca="1">VLOOKUP(A28,'Capital Improvements Schedule'!$M$4:$O$51,3,FALSE)</f>
        <v>0</v>
      </c>
      <c r="C28" s="235">
        <f>E28*HLOOKUP(A28,Forecast_Landfill!$E$38:$AU$40,3,FALSE)</f>
        <v>1031540.6444295131</v>
      </c>
      <c r="D28" s="236">
        <f t="shared" ca="1" si="0"/>
        <v>11974909.263425494</v>
      </c>
      <c r="E28" s="240">
        <f>E27*(1+Inf)^(A28-A25)</f>
        <v>12.01917741235372</v>
      </c>
    </row>
    <row r="29" spans="1:7" x14ac:dyDescent="0.25">
      <c r="A29" s="252">
        <v>2043</v>
      </c>
      <c r="B29" s="239">
        <f ca="1">VLOOKUP(A29,'Capital Improvements Schedule'!$M$4:$O$51,3,FALSE)</f>
        <v>0</v>
      </c>
      <c r="C29" s="235">
        <f>E29*HLOOKUP(A29,Forecast_Landfill!$E$38:$AU$40,3,FALSE)</f>
        <v>1058076.3412863896</v>
      </c>
      <c r="D29" s="236">
        <f t="shared" ca="1" si="0"/>
        <v>13057993.49958002</v>
      </c>
      <c r="E29" s="240">
        <f>E28</f>
        <v>12.01917741235372</v>
      </c>
    </row>
    <row r="30" spans="1:7" x14ac:dyDescent="0.25">
      <c r="A30" s="252">
        <v>2044</v>
      </c>
      <c r="B30" s="239">
        <f ca="1">VLOOKUP(A30,'Capital Improvements Schedule'!$M$4:$O$51,3,FALSE)</f>
        <v>0</v>
      </c>
      <c r="C30" s="235">
        <f>E30*HLOOKUP(A30,Forecast_Landfill!$E$38:$AU$40,3,FALSE)</f>
        <v>1085364.8647638815</v>
      </c>
      <c r="D30" s="236">
        <f t="shared" ca="1" si="0"/>
        <v>14170559.716207827</v>
      </c>
      <c r="E30" s="240">
        <f>E29</f>
        <v>12.01917741235372</v>
      </c>
    </row>
    <row r="31" spans="1:7" x14ac:dyDescent="0.25">
      <c r="A31" s="252">
        <v>2045</v>
      </c>
      <c r="B31" s="239">
        <f ca="1">VLOOKUP(A31,'Capital Improvements Schedule'!$M$4:$O$51,3,FALSE)</f>
        <v>0</v>
      </c>
      <c r="C31" s="235">
        <f>E31*HLOOKUP(A31,Forecast_Landfill!$E$38:$AU$40,3,FALSE)</f>
        <v>1216673.354730068</v>
      </c>
      <c r="D31" s="236">
        <f t="shared" ca="1" si="0"/>
        <v>15416790.86372504</v>
      </c>
      <c r="E31" s="240">
        <f>E30*(1+Inf)^(A31-A28)</f>
        <v>13.133679676269043</v>
      </c>
    </row>
    <row r="32" spans="1:7" x14ac:dyDescent="0.25">
      <c r="A32" s="252">
        <v>2046</v>
      </c>
      <c r="B32" s="239">
        <f ca="1">VLOOKUP(A32,'Capital Improvements Schedule'!$M$4:$O$51,3,FALSE)</f>
        <v>0</v>
      </c>
      <c r="C32" s="235">
        <f>E32*HLOOKUP(A32,Forecast_Landfill!$E$38:$AU$40,3,FALSE)</f>
        <v>1248211.2359165892</v>
      </c>
      <c r="D32" s="236">
        <f t="shared" ca="1" si="0"/>
        <v>16697083.892604996</v>
      </c>
      <c r="E32" s="240">
        <f>E31</f>
        <v>13.133679676269043</v>
      </c>
    </row>
    <row r="33" spans="1:8" x14ac:dyDescent="0.25">
      <c r="A33" s="252">
        <v>2047</v>
      </c>
      <c r="B33" s="239">
        <f ca="1">VLOOKUP(A33,'Capital Improvements Schedule'!$M$4:$O$51,3,FALSE)</f>
        <v>0</v>
      </c>
      <c r="C33" s="235">
        <f>E33*HLOOKUP(A33,Forecast_Landfill!$E$38:$AU$40,3,FALSE)</f>
        <v>1280646.9641480793</v>
      </c>
      <c r="D33" s="236">
        <f t="shared" ca="1" si="0"/>
        <v>18012405.67150243</v>
      </c>
      <c r="E33" s="240">
        <f>E32</f>
        <v>13.133679676269043</v>
      </c>
    </row>
    <row r="34" spans="1:8" x14ac:dyDescent="0.25">
      <c r="A34" s="252">
        <v>2048</v>
      </c>
      <c r="B34" s="239">
        <f ca="1">VLOOKUP(A34,'Capital Improvements Schedule'!$M$4:$O$51,3,FALSE)</f>
        <v>0</v>
      </c>
      <c r="C34" s="235">
        <f>E34*HLOOKUP(A34,Forecast_Landfill!$E$38:$AU$40,3,FALSE)</f>
        <v>1435851.0977165119</v>
      </c>
      <c r="D34" s="236">
        <f t="shared" ca="1" si="0"/>
        <v>19485717.431659661</v>
      </c>
      <c r="E34" s="240">
        <f>E33*(1+Inf)^(A34-A31)</f>
        <v>14.351526391610443</v>
      </c>
    </row>
    <row r="35" spans="1:8" x14ac:dyDescent="0.25">
      <c r="A35" s="252">
        <v>2049</v>
      </c>
      <c r="B35" s="239">
        <f ca="1">VLOOKUP(A35,'Capital Improvements Schedule'!$M$4:$O$51,3,FALSE)</f>
        <v>0</v>
      </c>
      <c r="C35" s="235">
        <f>E35*HLOOKUP(A35,Forecast_Landfill!$E$38:$AU$40,3,FALSE)</f>
        <v>1473344.8404717434</v>
      </c>
      <c r="D35" s="236">
        <f t="shared" ca="1" si="0"/>
        <v>20999507.051835198</v>
      </c>
      <c r="E35" s="240">
        <f>E34</f>
        <v>14.351526391610443</v>
      </c>
    </row>
    <row r="36" spans="1:8" x14ac:dyDescent="0.25">
      <c r="A36" s="252">
        <v>2050</v>
      </c>
      <c r="B36" s="239">
        <f ca="1">VLOOKUP(A36,'Capital Improvements Schedule'!$M$4:$O$51,3,FALSE)</f>
        <v>0</v>
      </c>
      <c r="C36" s="235">
        <f>E36*HLOOKUP(A36,Forecast_Landfill!$E$38:$AU$40,3,FALSE)</f>
        <v>1511909.6339857145</v>
      </c>
      <c r="D36" s="236">
        <f t="shared" ca="1" si="0"/>
        <v>22554927.609558567</v>
      </c>
      <c r="E36" s="240">
        <f>E35</f>
        <v>14.351526391610443</v>
      </c>
    </row>
    <row r="37" spans="1:8" x14ac:dyDescent="0.25">
      <c r="A37" s="252">
        <v>2051</v>
      </c>
      <c r="B37" s="239">
        <f ca="1">VLOOKUP(A37,'Capital Improvements Schedule'!$M$4:$O$51,3,FALSE)</f>
        <v>0</v>
      </c>
      <c r="C37" s="235">
        <f>E37*HLOOKUP(A37,Forecast_Landfill!$E$38:$AU$40,3,FALSE)</f>
        <v>1695450.4240540594</v>
      </c>
      <c r="D37" s="236">
        <f t="shared" ca="1" si="0"/>
        <v>24297183.339255799</v>
      </c>
      <c r="E37" s="240">
        <f>E36*(1+Inf)^(A37-A34)</f>
        <v>15.682300379325305</v>
      </c>
    </row>
    <row r="38" spans="1:8" x14ac:dyDescent="0.25">
      <c r="A38" s="252">
        <v>2052</v>
      </c>
      <c r="B38" s="239">
        <f ca="1">VLOOKUP(A38,'Capital Improvements Schedule'!$M$4:$O$51,3,FALSE)</f>
        <v>0</v>
      </c>
      <c r="C38" s="235">
        <f>E38*HLOOKUP(A38,Forecast_Landfill!$E$38:$AU$40,3,FALSE)</f>
        <v>1740037.3778641666</v>
      </c>
      <c r="D38" s="236">
        <f t="shared" ca="1" si="0"/>
        <v>26087555.12117634</v>
      </c>
      <c r="E38" s="240">
        <f>E37</f>
        <v>15.682300379325305</v>
      </c>
    </row>
    <row r="39" spans="1:8" x14ac:dyDescent="0.25">
      <c r="A39" s="252">
        <v>2053</v>
      </c>
      <c r="B39" s="239">
        <f ca="1">VLOOKUP(A39,'Capital Improvements Schedule'!$M$4:$O$51,3,FALSE)</f>
        <v>0</v>
      </c>
      <c r="C39" s="235">
        <f>E39*HLOOKUP(A39,Forecast_Landfill!$E$38:$AU$40,3,FALSE)</f>
        <v>1785902.2934782675</v>
      </c>
      <c r="D39" s="236">
        <f t="shared" ca="1" si="0"/>
        <v>27927418.427190438</v>
      </c>
      <c r="E39" s="240">
        <f>E38</f>
        <v>15.682300379325305</v>
      </c>
      <c r="H39" s="3"/>
    </row>
    <row r="40" spans="1:8" x14ac:dyDescent="0.25">
      <c r="A40" s="252">
        <v>2054</v>
      </c>
      <c r="B40" s="239">
        <f ca="1">VLOOKUP(A40,'Capital Improvements Schedule'!$M$4:$O$51,3,FALSE)</f>
        <v>0</v>
      </c>
      <c r="C40" s="235">
        <f>E40*HLOOKUP(A40,Forecast_Landfill!$E$38:$AU$40,3,FALSE)</f>
        <v>2003059.5696320117</v>
      </c>
      <c r="D40" s="236">
        <f t="shared" ca="1" si="0"/>
        <v>29988335.893246464</v>
      </c>
      <c r="E40" s="240">
        <f>E39*(1+Inf)^(A40-A37)</f>
        <v>17.136473046599004</v>
      </c>
      <c r="H40" s="3"/>
    </row>
    <row r="41" spans="1:8" x14ac:dyDescent="0.25">
      <c r="A41" s="252">
        <v>2055</v>
      </c>
      <c r="B41" s="239">
        <f ca="1">VLOOKUP(A41,'Capital Improvements Schedule'!$M$4:$O$51,3,FALSE)</f>
        <v>0</v>
      </c>
      <c r="C41" s="235">
        <f>E41*HLOOKUP(A41,Forecast_Landfill!$E$38:$AU$40,3,FALSE)</f>
        <v>2056096.4637620787</v>
      </c>
      <c r="D41" s="236">
        <f t="shared" ca="1" si="0"/>
        <v>32106465.1252588</v>
      </c>
      <c r="E41" s="240">
        <f>E40</f>
        <v>17.136473046599004</v>
      </c>
      <c r="H41" s="3"/>
    </row>
    <row r="42" spans="1:8" x14ac:dyDescent="0.25">
      <c r="A42" s="252">
        <v>2056</v>
      </c>
      <c r="B42" s="239">
        <f ca="1">VLOOKUP(A42,'Capital Improvements Schedule'!$M$4:$O$51,3,FALSE)</f>
        <v>0</v>
      </c>
      <c r="C42" s="235">
        <f>E42*HLOOKUP(A42,Forecast_Landfill!$E$38:$AU$40,3,FALSE)</f>
        <v>2110658.5537927104</v>
      </c>
      <c r="D42" s="236">
        <f t="shared" ca="1" si="0"/>
        <v>34283447.267855823</v>
      </c>
      <c r="E42" s="240">
        <f>E41</f>
        <v>17.136473046599004</v>
      </c>
      <c r="H42" s="3"/>
    </row>
    <row r="43" spans="1:8" x14ac:dyDescent="0.25">
      <c r="A43" s="252">
        <v>2057</v>
      </c>
      <c r="B43" s="239">
        <f ca="1">VLOOKUP(A43,'Capital Improvements Schedule'!$M$4:$O$51,3,FALSE)</f>
        <v>0</v>
      </c>
      <c r="C43" s="235">
        <f>E43*HLOOKUP(A43,Forecast_Landfill!$E$38:$AU$40,3,FALSE)</f>
        <v>2367711.4834861206</v>
      </c>
      <c r="D43" s="236">
        <f t="shared" ref="D43:D74" ca="1" si="1">D42+C43-B43+(D42+C43/2)*Interest_LGIP</f>
        <v>36722093.357361145</v>
      </c>
      <c r="E43" s="240">
        <f>E42*(1+Inf)^(A43-A40)</f>
        <v>18.725486782790991</v>
      </c>
      <c r="H43" s="3"/>
    </row>
    <row r="44" spans="1:8" x14ac:dyDescent="0.25">
      <c r="A44" s="252">
        <v>2058</v>
      </c>
      <c r="B44" s="239">
        <f ca="1">VLOOKUP(A44,'Capital Improvements Schedule'!$M$4:$O$51,3,FALSE)</f>
        <v>0</v>
      </c>
      <c r="C44" s="235">
        <f>E44*HLOOKUP(A44,Forecast_Landfill!$E$38:$AU$40,3,FALSE)</f>
        <v>2430817.1380414907</v>
      </c>
      <c r="D44" s="236">
        <f t="shared" ca="1" si="1"/>
        <v>39228785.499255396</v>
      </c>
      <c r="E44" s="240">
        <f>E43</f>
        <v>18.725486782790991</v>
      </c>
      <c r="H44" s="3"/>
    </row>
    <row r="45" spans="1:8" x14ac:dyDescent="0.25">
      <c r="A45" s="252">
        <v>2059</v>
      </c>
      <c r="B45" s="239">
        <f ca="1">VLOOKUP(A45,'Capital Improvements Schedule'!$M$4:$O$51,3,FALSE)</f>
        <v>0</v>
      </c>
      <c r="C45" s="235">
        <f>E45*HLOOKUP(A45,Forecast_Landfill!$E$38:$AU$40,3,FALSE)</f>
        <v>2495743.4704889711</v>
      </c>
      <c r="D45" s="236">
        <f t="shared" ca="1" si="1"/>
        <v>41805482.284213372</v>
      </c>
      <c r="E45" s="240">
        <f>E44</f>
        <v>18.725486782790991</v>
      </c>
      <c r="H45" s="3"/>
    </row>
    <row r="46" spans="1:8" x14ac:dyDescent="0.25">
      <c r="A46" s="252">
        <v>2060</v>
      </c>
      <c r="B46" s="239">
        <f ca="1">VLOOKUP(A46,'Capital Improvements Schedule'!$M$4:$O$51,3,FALSE)</f>
        <v>0</v>
      </c>
      <c r="C46" s="235">
        <f>E46*HLOOKUP(A46,Forecast_Landfill!$E$38:$AU$40,3,FALSE)</f>
        <v>2800162.1429406917</v>
      </c>
      <c r="D46" s="236">
        <f t="shared" ca="1" si="1"/>
        <v>44692055.553865433</v>
      </c>
      <c r="E46" s="240">
        <f>E45*(1+Inf)^(A46-A43)</f>
        <v>20.461844995698851</v>
      </c>
      <c r="H46" s="3"/>
    </row>
    <row r="47" spans="1:8" x14ac:dyDescent="0.25">
      <c r="A47" s="252">
        <v>2061</v>
      </c>
      <c r="B47" s="239">
        <f ca="1">VLOOKUP(A47,'Capital Improvements Schedule'!$M$4:$O$51,3,FALSE)</f>
        <v>0</v>
      </c>
      <c r="C47" s="235">
        <f>E47*HLOOKUP(A47,Forecast_Landfill!$E$38:$AU$40,3,FALSE)</f>
        <v>2875268.5686725746</v>
      </c>
      <c r="D47" s="236">
        <f t="shared" ca="1" si="1"/>
        <v>47659583.502214409</v>
      </c>
      <c r="E47" s="240">
        <f>E46</f>
        <v>20.461844995698851</v>
      </c>
      <c r="H47" s="3"/>
    </row>
    <row r="48" spans="1:8" x14ac:dyDescent="0.25">
      <c r="A48" s="252">
        <v>2062</v>
      </c>
      <c r="B48" s="239">
        <f ca="1">VLOOKUP(A48,'Capital Improvements Schedule'!$M$4:$O$51,3,FALSE)</f>
        <v>0</v>
      </c>
      <c r="C48" s="235">
        <f>E48*HLOOKUP(A48,Forecast_Landfill!$E$38:$AU$40,3,FALSE)</f>
        <v>2952548.897232892</v>
      </c>
      <c r="D48" s="236">
        <f t="shared" ca="1" si="1"/>
        <v>50710404.115348965</v>
      </c>
      <c r="E48" s="240">
        <f>E47</f>
        <v>20.461844995698851</v>
      </c>
      <c r="H48" s="3"/>
    </row>
    <row r="49" spans="1:8" x14ac:dyDescent="0.25">
      <c r="A49" s="252">
        <v>2063</v>
      </c>
      <c r="B49" s="239">
        <f ca="1">VLOOKUP(A49,'Capital Improvements Schedule'!$M$4:$O$51,3,FALSE)</f>
        <v>0</v>
      </c>
      <c r="C49" s="235">
        <f>E49*HLOOKUP(A49,Forecast_Landfill!$E$38:$AU$40,3,FALSE)</f>
        <v>3313223.0408900185</v>
      </c>
      <c r="D49" s="236">
        <f t="shared" ca="1" si="1"/>
        <v>54128361.187510565</v>
      </c>
      <c r="E49" s="240">
        <f>E48*(1+Inf)^(A49-A46)</f>
        <v>22.359210496615017</v>
      </c>
      <c r="H49" s="3"/>
    </row>
    <row r="50" spans="1:8" x14ac:dyDescent="0.25">
      <c r="A50" s="252">
        <v>2064</v>
      </c>
      <c r="B50" s="239">
        <f ca="1">VLOOKUP(A50,'Capital Improvements Schedule'!$M$4:$O$51,3,FALSE)</f>
        <v>0</v>
      </c>
      <c r="C50" s="235">
        <f>E50*HLOOKUP(A50,Forecast_Landfill!$E$38:$AU$40,3,FALSE)</f>
        <v>3402636.5891231908</v>
      </c>
      <c r="D50" s="236">
        <f t="shared" ca="1" si="1"/>
        <v>57642657.1355979</v>
      </c>
      <c r="E50" s="240">
        <f>E49</f>
        <v>22.359210496615017</v>
      </c>
      <c r="H50" s="3"/>
    </row>
    <row r="51" spans="1:8" x14ac:dyDescent="0.25">
      <c r="A51" s="252">
        <v>2065</v>
      </c>
      <c r="B51" s="239">
        <f ca="1">VLOOKUP(A51,'Capital Improvements Schedule'!$M$4:$O$51,3,FALSE)</f>
        <v>0</v>
      </c>
      <c r="C51" s="235">
        <f>E51*HLOOKUP(A51,Forecast_Landfill!$E$38:$AU$40,3,FALSE)</f>
        <v>3494646.3868585727</v>
      </c>
      <c r="D51" s="236">
        <f t="shared" ca="1" si="1"/>
        <v>61256083.483114526</v>
      </c>
      <c r="E51" s="240">
        <f>E50</f>
        <v>22.359210496615017</v>
      </c>
      <c r="H51" s="3"/>
    </row>
    <row r="52" spans="1:8" x14ac:dyDescent="0.25">
      <c r="A52" s="252">
        <v>2066</v>
      </c>
      <c r="B52" s="239">
        <f ca="1">VLOOKUP(A52,'Capital Improvements Schedule'!$M$4:$O$51,3,FALSE)</f>
        <v>2068684.189216949</v>
      </c>
      <c r="C52" s="235">
        <f>E52*HLOOKUP(A52,Forecast_Landfill!$E$38:$AU$40,3,FALSE)</f>
        <v>3922158.4885453307</v>
      </c>
      <c r="D52" s="236">
        <f t="shared" ca="1" si="1"/>
        <v>63235992.107897677</v>
      </c>
      <c r="E52" s="240">
        <f>E51*(1+Inf)^(A52-A49)</f>
        <v>24.432513008334638</v>
      </c>
      <c r="H52" s="3"/>
    </row>
    <row r="53" spans="1:8" x14ac:dyDescent="0.25">
      <c r="A53" s="252">
        <v>2067</v>
      </c>
      <c r="B53" s="239">
        <f ca="1">VLOOKUP(A53,'Capital Improvements Schedule'!$M$4:$O$51,3,FALSE)</f>
        <v>27966024.382976633</v>
      </c>
      <c r="C53" s="239">
        <v>0</v>
      </c>
      <c r="D53" s="236">
        <f t="shared" ca="1" si="1"/>
        <v>35396439.709136844</v>
      </c>
      <c r="E53" s="240"/>
      <c r="F53" s="3" t="s">
        <v>98</v>
      </c>
      <c r="H53" s="3"/>
    </row>
    <row r="54" spans="1:8" x14ac:dyDescent="0.25">
      <c r="A54" s="252">
        <v>2068</v>
      </c>
      <c r="B54" s="239">
        <f>'Post-Closure Costs'!$F$33*(1+Inf)^(A54-2021)</f>
        <v>770283.84545431822</v>
      </c>
      <c r="C54" s="239">
        <v>0</v>
      </c>
      <c r="D54" s="236">
        <f t="shared" ca="1" si="1"/>
        <v>34696948.7431008</v>
      </c>
      <c r="E54" s="240"/>
      <c r="F54" s="40">
        <v>1</v>
      </c>
      <c r="H54" s="3"/>
    </row>
    <row r="55" spans="1:8" x14ac:dyDescent="0.25">
      <c r="A55" s="252">
        <v>2069</v>
      </c>
      <c r="B55" s="239">
        <f>'Post-Closure Costs'!$F$33*(1+Inf)^(A55-2021)</f>
        <v>793392.36081794766</v>
      </c>
      <c r="C55" s="239">
        <v>0</v>
      </c>
      <c r="D55" s="236">
        <f t="shared" ca="1" si="1"/>
        <v>33972950.279769056</v>
      </c>
      <c r="E55" s="240"/>
      <c r="F55" s="40">
        <v>2</v>
      </c>
      <c r="H55" s="3"/>
    </row>
    <row r="56" spans="1:8" x14ac:dyDescent="0.25">
      <c r="A56" s="252">
        <v>2070</v>
      </c>
      <c r="B56" s="239">
        <f>'Post-Closure Costs'!$F$33*(1+Inf)^(A56-2021)</f>
        <v>817194.13164248597</v>
      </c>
      <c r="C56" s="239">
        <v>0</v>
      </c>
      <c r="D56" s="236">
        <f t="shared" ca="1" si="1"/>
        <v>33223702.048686106</v>
      </c>
      <c r="E56" s="108"/>
      <c r="F56" s="40">
        <v>3</v>
      </c>
    </row>
    <row r="57" spans="1:8" x14ac:dyDescent="0.25">
      <c r="A57" s="252">
        <v>2071</v>
      </c>
      <c r="B57" s="239">
        <f>'Post-Closure Costs'!$F$33*(1+Inf)^(A57-2021)</f>
        <v>841709.95559176058</v>
      </c>
      <c r="C57" s="239">
        <v>0</v>
      </c>
      <c r="D57" s="236">
        <f t="shared" ca="1" si="1"/>
        <v>32448439.497191716</v>
      </c>
      <c r="E57" s="108"/>
      <c r="F57" s="40">
        <v>4</v>
      </c>
    </row>
    <row r="58" spans="1:8" x14ac:dyDescent="0.25">
      <c r="A58" s="252">
        <v>2072</v>
      </c>
      <c r="B58" s="239">
        <f>'Post-Closure Costs'!$F$33*(1+Inf)^(A58-2021)</f>
        <v>866961.25425951334</v>
      </c>
      <c r="C58" s="239">
        <v>0</v>
      </c>
      <c r="D58" s="236">
        <f t="shared" ca="1" si="1"/>
        <v>31646375.121926587</v>
      </c>
      <c r="E58" s="108"/>
      <c r="F58" s="40">
        <v>5</v>
      </c>
    </row>
    <row r="59" spans="1:8" x14ac:dyDescent="0.25">
      <c r="A59" s="252">
        <v>2073</v>
      </c>
      <c r="B59" s="239">
        <f>'Post-Closure Costs'!$F$33*(1+Inf)^(A59-2021)</f>
        <v>892970.09188729874</v>
      </c>
      <c r="C59" s="239">
        <v>0</v>
      </c>
      <c r="D59" s="236">
        <f t="shared" ca="1" si="1"/>
        <v>30816697.780283142</v>
      </c>
      <c r="E59" s="108"/>
      <c r="F59" s="40">
        <v>6</v>
      </c>
    </row>
    <row r="60" spans="1:8" x14ac:dyDescent="0.25">
      <c r="A60" s="252">
        <v>2074</v>
      </c>
      <c r="B60" s="239">
        <f>'Post-Closure Costs'!$F$33*(1+Inf)^(A60-2021)</f>
        <v>919759.19464391761</v>
      </c>
      <c r="C60" s="239">
        <v>0</v>
      </c>
      <c r="D60" s="236">
        <f t="shared" ca="1" si="1"/>
        <v>29958571.98119979</v>
      </c>
      <c r="E60" s="108"/>
      <c r="F60" s="40">
        <v>7</v>
      </c>
    </row>
    <row r="61" spans="1:8" x14ac:dyDescent="0.25">
      <c r="A61" s="252">
        <v>2075</v>
      </c>
      <c r="B61" s="239">
        <f>'Post-Closure Costs'!$F$33*(1+Inf)^(A61-2021)</f>
        <v>947351.9704832352</v>
      </c>
      <c r="C61" s="239">
        <v>0</v>
      </c>
      <c r="D61" s="236">
        <f t="shared" ca="1" si="1"/>
        <v>29071137.154678952</v>
      </c>
      <c r="E61" s="108"/>
      <c r="F61" s="40">
        <v>8</v>
      </c>
    </row>
    <row r="62" spans="1:8" x14ac:dyDescent="0.25">
      <c r="A62" s="252">
        <v>2076</v>
      </c>
      <c r="B62" s="239">
        <f>'Post-Closure Costs'!$F$33*(1+Inf)^(A62-2021)</f>
        <v>975772.52959773235</v>
      </c>
      <c r="C62" s="239">
        <v>0</v>
      </c>
      <c r="D62" s="236">
        <f t="shared" ca="1" si="1"/>
        <v>28153506.899390578</v>
      </c>
      <c r="E62" s="108"/>
      <c r="F62" s="40">
        <v>9</v>
      </c>
    </row>
    <row r="63" spans="1:8" x14ac:dyDescent="0.25">
      <c r="A63" s="252">
        <v>2077</v>
      </c>
      <c r="B63" s="239">
        <f>'Post-Closure Costs'!$F$33*(1+Inf)^(A63-2021)</f>
        <v>1005045.7054856641</v>
      </c>
      <c r="C63" s="239">
        <v>0</v>
      </c>
      <c r="D63" s="236">
        <f t="shared" ca="1" si="1"/>
        <v>27204768.207703695</v>
      </c>
      <c r="E63" s="108"/>
      <c r="F63" s="40">
        <v>10</v>
      </c>
    </row>
    <row r="64" spans="1:8" x14ac:dyDescent="0.25">
      <c r="A64" s="252">
        <v>2078</v>
      </c>
      <c r="B64" s="239">
        <f>'Post-Closure Costs'!$F$33*(1+Inf)^(A64-2021)</f>
        <v>1035197.0766502342</v>
      </c>
      <c r="C64" s="239">
        <v>0</v>
      </c>
      <c r="D64" s="236">
        <f t="shared" ca="1" si="1"/>
        <v>26223980.667468864</v>
      </c>
      <c r="E64" s="108"/>
      <c r="F64" s="40">
        <v>11</v>
      </c>
    </row>
    <row r="65" spans="1:6" x14ac:dyDescent="0.25">
      <c r="A65" s="252">
        <v>2079</v>
      </c>
      <c r="B65" s="239">
        <f>'Post-Closure Costs'!$F$33*(1+Inf)^(A65-2021)</f>
        <v>1066252.9889497412</v>
      </c>
      <c r="C65" s="239">
        <v>0</v>
      </c>
      <c r="D65" s="236">
        <f t="shared" ca="1" si="1"/>
        <v>25210175.639854059</v>
      </c>
      <c r="E65" s="108"/>
      <c r="F65" s="40">
        <v>12</v>
      </c>
    </row>
    <row r="66" spans="1:6" x14ac:dyDescent="0.25">
      <c r="A66" s="252">
        <v>2080</v>
      </c>
      <c r="B66" s="239">
        <f>'Post-Closure Costs'!$F$33*(1+Inf)^(A66-2021)</f>
        <v>1098240.5786182333</v>
      </c>
      <c r="C66" s="239">
        <v>0</v>
      </c>
      <c r="D66" s="236">
        <f t="shared" ca="1" si="1"/>
        <v>24162355.412515536</v>
      </c>
      <c r="E66" s="108"/>
      <c r="F66" s="40">
        <v>13</v>
      </c>
    </row>
    <row r="67" spans="1:6" x14ac:dyDescent="0.25">
      <c r="A67" s="252">
        <v>2081</v>
      </c>
      <c r="B67" s="239">
        <f>'Post-Closure Costs'!$F$33*(1+Inf)^(A67-2021)</f>
        <v>1131187.7959767804</v>
      </c>
      <c r="C67" s="239">
        <v>0</v>
      </c>
      <c r="D67" s="236">
        <f t="shared" ca="1" si="1"/>
        <v>23079492.327363785</v>
      </c>
      <c r="E67" s="108"/>
      <c r="F67" s="40">
        <v>14</v>
      </c>
    </row>
    <row r="68" spans="1:6" x14ac:dyDescent="0.25">
      <c r="A68" s="252">
        <v>2082</v>
      </c>
      <c r="B68" s="239">
        <f>'Post-Closure Costs'!$F$33*(1+Inf)^(A68-2021)</f>
        <v>1165123.4298560836</v>
      </c>
      <c r="C68" s="239">
        <v>0</v>
      </c>
      <c r="D68" s="236">
        <f t="shared" ca="1" si="1"/>
        <v>21960527.882162429</v>
      </c>
      <c r="E68" s="108"/>
      <c r="F68" s="40">
        <v>15</v>
      </c>
    </row>
    <row r="69" spans="1:6" x14ac:dyDescent="0.25">
      <c r="A69" s="252">
        <v>2083</v>
      </c>
      <c r="B69" s="239">
        <f>'Post-Closure Costs'!$F$33*(1+Inf)^(A69-2021)</f>
        <v>1200077.1327517661</v>
      </c>
      <c r="C69" s="239">
        <v>0</v>
      </c>
      <c r="D69" s="236">
        <f t="shared" ca="1" si="1"/>
        <v>20804371.805174988</v>
      </c>
      <c r="E69" s="108"/>
      <c r="F69" s="40">
        <v>16</v>
      </c>
    </row>
    <row r="70" spans="1:6" x14ac:dyDescent="0.25">
      <c r="A70" s="252">
        <v>2084</v>
      </c>
      <c r="B70" s="239">
        <f>'Post-Closure Costs'!$F$33*(1+Inf)^(A70-2021)</f>
        <v>1236079.4467343192</v>
      </c>
      <c r="C70" s="239">
        <v>0</v>
      </c>
      <c r="D70" s="236">
        <f t="shared" ca="1" si="1"/>
        <v>19609901.102051016</v>
      </c>
      <c r="E70" s="108"/>
      <c r="F70" s="40">
        <v>17</v>
      </c>
    </row>
    <row r="71" spans="1:6" x14ac:dyDescent="0.25">
      <c r="A71" s="252">
        <v>2085</v>
      </c>
      <c r="B71" s="239">
        <f>'Post-Closure Costs'!$F$33*(1+Inf)^(A71-2021)</f>
        <v>1273161.8301363487</v>
      </c>
      <c r="C71" s="239">
        <v>0</v>
      </c>
      <c r="D71" s="236">
        <f t="shared" ca="1" si="1"/>
        <v>18375959.074118771</v>
      </c>
      <c r="E71" s="108"/>
      <c r="F71" s="40">
        <v>18</v>
      </c>
    </row>
    <row r="72" spans="1:6" x14ac:dyDescent="0.25">
      <c r="A72" s="252">
        <v>2086</v>
      </c>
      <c r="B72" s="239">
        <f>'Post-Closure Costs'!$F$33*(1+Inf)^(A72-2021)</f>
        <v>1311356.685040439</v>
      </c>
      <c r="C72" s="239">
        <v>0</v>
      </c>
      <c r="D72" s="236">
        <f t="shared" ca="1" si="1"/>
        <v>17101354.307226568</v>
      </c>
      <c r="E72" s="108"/>
      <c r="F72" s="40">
        <v>19</v>
      </c>
    </row>
    <row r="73" spans="1:6" x14ac:dyDescent="0.25">
      <c r="A73" s="252">
        <v>2087</v>
      </c>
      <c r="B73" s="239">
        <f>'Post-Closure Costs'!$F$33*(1+Inf)^(A73-2021)</f>
        <v>1350697.3855916522</v>
      </c>
      <c r="C73" s="239">
        <v>0</v>
      </c>
      <c r="D73" s="236">
        <f t="shared" ca="1" si="1"/>
        <v>15784859.63024937</v>
      </c>
      <c r="E73" s="108"/>
      <c r="F73" s="40">
        <v>20</v>
      </c>
    </row>
    <row r="74" spans="1:6" x14ac:dyDescent="0.25">
      <c r="A74" s="252">
        <v>2088</v>
      </c>
      <c r="B74" s="239">
        <f>'Post-Closure Costs'!$F$33*(1+Inf)^(A74-2021)</f>
        <v>1391218.3071594019</v>
      </c>
      <c r="C74" s="239">
        <v>0</v>
      </c>
      <c r="D74" s="236">
        <f t="shared" ca="1" si="1"/>
        <v>14425211.042350467</v>
      </c>
      <c r="E74" s="108"/>
      <c r="F74" s="40">
        <v>21</v>
      </c>
    </row>
    <row r="75" spans="1:6" x14ac:dyDescent="0.25">
      <c r="A75" s="252">
        <v>2089</v>
      </c>
      <c r="B75" s="239">
        <f>'Post-Closure Costs'!$F$33*(1+Inf)^(A75-2021)</f>
        <v>1432954.8563741837</v>
      </c>
      <c r="C75" s="239">
        <v>0</v>
      </c>
      <c r="D75" s="236">
        <f t="shared" ref="D75:D83" ca="1" si="2">D74+C75-B75+(D74+C75/2)*Interest_LGIP</f>
        <v>13021106.608060984</v>
      </c>
      <c r="E75" s="108"/>
      <c r="F75" s="40">
        <v>22</v>
      </c>
    </row>
    <row r="76" spans="1:6" x14ac:dyDescent="0.25">
      <c r="A76" s="252">
        <v>2090</v>
      </c>
      <c r="B76" s="239">
        <f>'Post-Closure Costs'!$F$33*(1+Inf)^(A76-2021)</f>
        <v>1475943.5020654092</v>
      </c>
      <c r="C76" s="239">
        <v>0</v>
      </c>
      <c r="D76" s="236">
        <f t="shared" ca="1" si="2"/>
        <v>11571205.319211697</v>
      </c>
      <c r="E76" s="108"/>
      <c r="F76" s="40">
        <v>23</v>
      </c>
    </row>
    <row r="77" spans="1:6" x14ac:dyDescent="0.25">
      <c r="A77" s="252">
        <v>2091</v>
      </c>
      <c r="B77" s="239">
        <f>'Post-Closure Costs'!$F$33*(1+Inf)^(A77-2021)</f>
        <v>1520221.8071273714</v>
      </c>
      <c r="C77" s="239">
        <v>0</v>
      </c>
      <c r="D77" s="236">
        <f t="shared" ca="1" si="2"/>
        <v>10074125.922722749</v>
      </c>
      <c r="E77" s="108"/>
      <c r="F77" s="40">
        <v>24</v>
      </c>
    </row>
    <row r="78" spans="1:6" x14ac:dyDescent="0.25">
      <c r="A78" s="252">
        <v>2092</v>
      </c>
      <c r="B78" s="239">
        <f>'Post-Closure Costs'!$F$33*(1+Inf)^(A78-2021)</f>
        <v>1565828.4613411927</v>
      </c>
      <c r="C78" s="239">
        <v>0</v>
      </c>
      <c r="D78" s="236">
        <f t="shared" ca="1" si="2"/>
        <v>8528445.713227002</v>
      </c>
      <c r="E78" s="108"/>
      <c r="F78" s="40">
        <v>25</v>
      </c>
    </row>
    <row r="79" spans="1:6" x14ac:dyDescent="0.25">
      <c r="A79" s="252">
        <v>2093</v>
      </c>
      <c r="B79" s="239">
        <f>'Post-Closure Costs'!$F$33*(1+Inf)^(A79-2021)</f>
        <v>1612803.3151814283</v>
      </c>
      <c r="C79" s="239">
        <v>0</v>
      </c>
      <c r="D79" s="236">
        <f t="shared" ca="1" si="2"/>
        <v>6932699.2894720277</v>
      </c>
      <c r="E79" s="108"/>
      <c r="F79" s="40">
        <v>26</v>
      </c>
    </row>
    <row r="80" spans="1:6" x14ac:dyDescent="0.25">
      <c r="A80" s="252">
        <v>2094</v>
      </c>
      <c r="B80" s="239">
        <f>'Post-Closure Costs'!$F$33*(1+Inf)^(A80-2021)</f>
        <v>1661187.4146368713</v>
      </c>
      <c r="C80" s="239">
        <v>0</v>
      </c>
      <c r="D80" s="236">
        <f t="shared" ca="1" si="2"/>
        <v>5285377.2734140996</v>
      </c>
      <c r="E80" s="108"/>
      <c r="F80" s="40">
        <v>27</v>
      </c>
    </row>
    <row r="81" spans="1:7" x14ac:dyDescent="0.25">
      <c r="A81" s="252">
        <v>2095</v>
      </c>
      <c r="B81" s="239">
        <f>'Post-Closure Costs'!$F$33*(1+Inf)^(A81-2021)</f>
        <v>1711023.0370759773</v>
      </c>
      <c r="C81" s="239">
        <v>0</v>
      </c>
      <c r="D81" s="236">
        <f t="shared" ca="1" si="2"/>
        <v>3584924.9908849504</v>
      </c>
      <c r="E81" s="108"/>
      <c r="F81" s="40">
        <v>28</v>
      </c>
    </row>
    <row r="82" spans="1:7" x14ac:dyDescent="0.25">
      <c r="A82" s="252">
        <v>2096</v>
      </c>
      <c r="B82" s="239">
        <f>'Post-Closure Costs'!$F$33*(1+Inf)^(A82-2021)</f>
        <v>1762353.7281882567</v>
      </c>
      <c r="C82" s="239">
        <v>0</v>
      </c>
      <c r="D82" s="236">
        <f t="shared" ca="1" si="2"/>
        <v>1829741.1126784636</v>
      </c>
      <c r="E82" s="108"/>
      <c r="F82" s="40">
        <v>29</v>
      </c>
    </row>
    <row r="83" spans="1:7" x14ac:dyDescent="0.25">
      <c r="A83" s="252">
        <v>2097</v>
      </c>
      <c r="B83" s="239">
        <f>'Post-Closure Costs'!$F$33*(1+Inf)^(A83-2021)</f>
        <v>1815224.3400339042</v>
      </c>
      <c r="C83" s="239">
        <v>0</v>
      </c>
      <c r="D83" s="524">
        <f t="shared" ca="1" si="2"/>
        <v>18176.254869916316</v>
      </c>
      <c r="E83" s="108"/>
      <c r="F83" s="40">
        <v>30</v>
      </c>
      <c r="G83" s="7" t="s">
        <v>176</v>
      </c>
    </row>
  </sheetData>
  <sheetProtection algorithmName="SHA-512" hashValue="ov4cf2LjlF9EU5CIiLwLzBbx61qj2hqTS3wREz4f/Yl6A2q7nvOpH6eRcVdAuxMIgT661LsexM+YGJASB9IEFg==" saltValue="kbsSRcBk4joDKrnnd988uQ==" spinCount="100000" sheet="1" objects="1" scenarios="1"/>
  <mergeCells count="1">
    <mergeCell ref="F9:H9"/>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6" r:id="rId4" name="Button 2">
              <controlPr defaultSize="0" print="0" autoFill="0" autoPict="0" macro="[0]!Set_Rate_Closure">
                <anchor moveWithCells="1">
                  <from>
                    <xdr:col>5</xdr:col>
                    <xdr:colOff>393700</xdr:colOff>
                    <xdr:row>11</xdr:row>
                    <xdr:rowOff>190500</xdr:rowOff>
                  </from>
                  <to>
                    <xdr:col>5</xdr:col>
                    <xdr:colOff>1276350</xdr:colOff>
                    <xdr:row>13</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6" tint="0.39997558519241921"/>
    <pageSetUpPr fitToPage="1"/>
  </sheetPr>
  <dimension ref="B2:O51"/>
  <sheetViews>
    <sheetView workbookViewId="0">
      <selection activeCell="H7" sqref="H7"/>
    </sheetView>
  </sheetViews>
  <sheetFormatPr defaultRowHeight="12.5" x14ac:dyDescent="0.25"/>
  <cols>
    <col min="2" max="2" width="2.54296875" customWidth="1"/>
    <col min="3" max="3" width="27.1796875" style="43" customWidth="1"/>
    <col min="4" max="5" width="16" bestFit="1" customWidth="1"/>
    <col min="6" max="6" width="12.81640625" bestFit="1" customWidth="1"/>
    <col min="7" max="7" width="14" bestFit="1" customWidth="1"/>
    <col min="8" max="8" width="12.26953125" bestFit="1" customWidth="1"/>
    <col min="9" max="9" width="19.81640625" bestFit="1" customWidth="1"/>
    <col min="10" max="10" width="15.26953125" bestFit="1" customWidth="1"/>
    <col min="11" max="11" width="12.81640625" bestFit="1" customWidth="1"/>
    <col min="14" max="14" width="12.453125" customWidth="1"/>
    <col min="15" max="15" width="12.453125" bestFit="1" customWidth="1"/>
  </cols>
  <sheetData>
    <row r="2" spans="2:15" ht="13" thickBot="1" x14ac:dyDescent="0.3">
      <c r="C2" s="66" t="s">
        <v>107</v>
      </c>
    </row>
    <row r="3" spans="2:15" ht="37.5" x14ac:dyDescent="0.25">
      <c r="B3" s="51" t="s">
        <v>105</v>
      </c>
      <c r="C3" s="52" t="s">
        <v>106</v>
      </c>
      <c r="D3" s="53" t="s">
        <v>64</v>
      </c>
      <c r="E3" s="54" t="s">
        <v>65</v>
      </c>
      <c r="F3" s="53" t="s">
        <v>66</v>
      </c>
      <c r="G3" s="53" t="s">
        <v>258</v>
      </c>
      <c r="H3" s="53" t="s">
        <v>91</v>
      </c>
      <c r="I3" s="53" t="s">
        <v>99</v>
      </c>
      <c r="J3" s="53" t="s">
        <v>92</v>
      </c>
      <c r="K3" s="55" t="s">
        <v>67</v>
      </c>
      <c r="M3" s="43"/>
      <c r="N3" s="46" t="s">
        <v>95</v>
      </c>
      <c r="O3" s="46" t="s">
        <v>96</v>
      </c>
    </row>
    <row r="4" spans="2:15" x14ac:dyDescent="0.25">
      <c r="B4" s="56">
        <f>IF(C4&lt;&gt;"",1,"")</f>
        <v>1</v>
      </c>
      <c r="C4" s="61" t="s">
        <v>55</v>
      </c>
      <c r="D4" s="62">
        <f>'Cell B Costs'!J34</f>
        <v>3193000</v>
      </c>
      <c r="E4" s="63">
        <v>2032</v>
      </c>
      <c r="F4" s="49">
        <f t="shared" ref="F4:F10" si="0">D4*(1+Inf)^(E4-2021)</f>
        <v>4419858.749223154</v>
      </c>
      <c r="G4" s="49">
        <f t="shared" ref="G4:G10" si="1">(D4*5%)*(1+Inf)^(E4-2021)</f>
        <v>220992.93746115771</v>
      </c>
      <c r="H4" s="49">
        <f t="shared" ref="H4:H10" si="2">SUM(F4:G4)</f>
        <v>4640851.6866843114</v>
      </c>
      <c r="I4" s="50">
        <f t="shared" ref="I4:I10" si="3">D4*8%</f>
        <v>255440</v>
      </c>
      <c r="J4" s="48">
        <f t="shared" ref="J4:J10" si="4">E4-1</f>
        <v>2031</v>
      </c>
      <c r="K4" s="57">
        <f t="shared" ref="K4:K10" si="5">I4*(1+Inf)^(J4-2021)</f>
        <v>343289.99993966246</v>
      </c>
      <c r="M4">
        <v>2022</v>
      </c>
      <c r="N4" s="44">
        <f t="shared" ref="N4:N51" ca="1" si="6">SUMIF(Table.Capital_Improvement_Construction,M4,Array.Capital_Improvement_Construction_Cost)+SUMIF(Table.Capital_Improvement_Engineering,M4,Array.Capital_Improvement_Engineering_Cost)</f>
        <v>0</v>
      </c>
      <c r="O4" s="44">
        <f t="shared" ref="O4:O51" ca="1" si="7">SUMIF($E$30:$H$30,M4,$H$30)+SUMIF($J$30:$K$30,M4,$K$30)</f>
        <v>0</v>
      </c>
    </row>
    <row r="5" spans="2:15" x14ac:dyDescent="0.25">
      <c r="B5" s="56">
        <f>IF(C5&lt;&gt;"",B4+1,"")</f>
        <v>2</v>
      </c>
      <c r="C5" s="61" t="s">
        <v>102</v>
      </c>
      <c r="D5" s="62">
        <v>750000</v>
      </c>
      <c r="E5" s="63">
        <v>2034</v>
      </c>
      <c r="F5" s="49">
        <f t="shared" si="0"/>
        <v>1101400.285088673</v>
      </c>
      <c r="G5" s="49">
        <f t="shared" si="1"/>
        <v>55070.014254433649</v>
      </c>
      <c r="H5" s="49">
        <f t="shared" si="2"/>
        <v>1156470.2993431066</v>
      </c>
      <c r="I5" s="50">
        <f t="shared" si="3"/>
        <v>60000</v>
      </c>
      <c r="J5" s="48">
        <f t="shared" si="4"/>
        <v>2033</v>
      </c>
      <c r="K5" s="57">
        <f t="shared" si="5"/>
        <v>85545.653210770717</v>
      </c>
      <c r="M5">
        <v>2023</v>
      </c>
      <c r="N5" s="44">
        <f t="shared" ca="1" si="6"/>
        <v>0</v>
      </c>
      <c r="O5" s="44">
        <f t="shared" ca="1" si="7"/>
        <v>0</v>
      </c>
    </row>
    <row r="6" spans="2:15" x14ac:dyDescent="0.25">
      <c r="B6" s="56">
        <f t="shared" ref="B6:B28" si="8">IF(C6&lt;&gt;"",B5+1,"")</f>
        <v>3</v>
      </c>
      <c r="C6" s="61" t="s">
        <v>56</v>
      </c>
      <c r="D6" s="62">
        <f>'Cell C Costs'!J34</f>
        <v>4207000</v>
      </c>
      <c r="E6" s="63">
        <v>2040</v>
      </c>
      <c r="F6" s="49">
        <f t="shared" si="0"/>
        <v>7376999.9652953604</v>
      </c>
      <c r="G6" s="49">
        <f t="shared" si="1"/>
        <v>368849.99826476804</v>
      </c>
      <c r="H6" s="49">
        <f t="shared" si="2"/>
        <v>7745849.9635601286</v>
      </c>
      <c r="I6" s="50">
        <f t="shared" si="3"/>
        <v>336560</v>
      </c>
      <c r="J6" s="48">
        <f t="shared" si="4"/>
        <v>2039</v>
      </c>
      <c r="K6" s="57">
        <f t="shared" si="5"/>
        <v>572970.87109090178</v>
      </c>
      <c r="M6">
        <v>2024</v>
      </c>
      <c r="N6" s="44">
        <f t="shared" ca="1" si="6"/>
        <v>0</v>
      </c>
      <c r="O6" s="44">
        <f t="shared" ca="1" si="7"/>
        <v>0</v>
      </c>
    </row>
    <row r="7" spans="2:15" x14ac:dyDescent="0.25">
      <c r="B7" s="56">
        <f t="shared" si="8"/>
        <v>4</v>
      </c>
      <c r="C7" s="61" t="s">
        <v>57</v>
      </c>
      <c r="D7" s="62">
        <f>'Cell D Costs'!J34</f>
        <v>4225000</v>
      </c>
      <c r="E7" s="63">
        <v>2052</v>
      </c>
      <c r="F7" s="49">
        <f t="shared" si="0"/>
        <v>10562839.4589996</v>
      </c>
      <c r="G7" s="49">
        <f t="shared" si="1"/>
        <v>528141.97294998006</v>
      </c>
      <c r="H7" s="49">
        <f t="shared" si="2"/>
        <v>11090981.43194958</v>
      </c>
      <c r="I7" s="50">
        <f t="shared" si="3"/>
        <v>338000</v>
      </c>
      <c r="J7" s="48">
        <f t="shared" si="4"/>
        <v>2051</v>
      </c>
      <c r="K7" s="57">
        <f t="shared" si="5"/>
        <v>820414.71526210476</v>
      </c>
      <c r="M7">
        <v>2025</v>
      </c>
      <c r="N7" s="44">
        <f t="shared" ca="1" si="6"/>
        <v>0</v>
      </c>
      <c r="O7" s="44">
        <f t="shared" ca="1" si="7"/>
        <v>0</v>
      </c>
    </row>
    <row r="8" spans="2:15" x14ac:dyDescent="0.25">
      <c r="B8" s="56">
        <f>IF(C8&lt;&gt;"",B7+1,"")</f>
        <v>5</v>
      </c>
      <c r="C8" s="67" t="s">
        <v>108</v>
      </c>
      <c r="D8" s="62">
        <v>750000</v>
      </c>
      <c r="E8" s="63">
        <v>2052</v>
      </c>
      <c r="F8" s="49">
        <f t="shared" si="0"/>
        <v>1875060.2589940119</v>
      </c>
      <c r="G8" s="49">
        <f t="shared" si="1"/>
        <v>93753.012949700598</v>
      </c>
      <c r="H8" s="49">
        <f t="shared" si="2"/>
        <v>1968813.2719437126</v>
      </c>
      <c r="I8" s="50">
        <f t="shared" si="3"/>
        <v>60000</v>
      </c>
      <c r="J8" s="48">
        <f t="shared" si="4"/>
        <v>2051</v>
      </c>
      <c r="K8" s="57">
        <f t="shared" si="5"/>
        <v>145635.74827137953</v>
      </c>
      <c r="M8">
        <v>2026</v>
      </c>
      <c r="N8" s="44">
        <f t="shared" ca="1" si="6"/>
        <v>0</v>
      </c>
      <c r="O8" s="44">
        <f t="shared" ca="1" si="7"/>
        <v>0</v>
      </c>
    </row>
    <row r="9" spans="2:15" x14ac:dyDescent="0.25">
      <c r="B9" s="56">
        <f>IF(C9&lt;&gt;"",B8+1,"")</f>
        <v>6</v>
      </c>
      <c r="C9" s="61" t="s">
        <v>104</v>
      </c>
      <c r="D9" s="62">
        <f>'Cell A Costs'!J34*2</f>
        <v>10096000</v>
      </c>
      <c r="E9" s="63">
        <v>2066</v>
      </c>
      <c r="F9" s="49">
        <f t="shared" si="0"/>
        <v>38178991.617311932</v>
      </c>
      <c r="G9" s="49">
        <f t="shared" si="1"/>
        <v>1908949.5808655964</v>
      </c>
      <c r="H9" s="49">
        <f t="shared" si="2"/>
        <v>40087941.198177531</v>
      </c>
      <c r="I9" s="50">
        <f t="shared" si="3"/>
        <v>807680</v>
      </c>
      <c r="J9" s="48">
        <f t="shared" si="4"/>
        <v>2065</v>
      </c>
      <c r="K9" s="57">
        <f t="shared" si="5"/>
        <v>2965358.5722184023</v>
      </c>
      <c r="M9">
        <v>2027</v>
      </c>
      <c r="N9" s="44">
        <f t="shared" ca="1" si="6"/>
        <v>0</v>
      </c>
      <c r="O9" s="44">
        <f t="shared" ca="1" si="7"/>
        <v>0</v>
      </c>
    </row>
    <row r="10" spans="2:15" x14ac:dyDescent="0.25">
      <c r="B10" s="56">
        <f>IF(C10&lt;&gt;"",B9+1,"")</f>
        <v>7</v>
      </c>
      <c r="C10" s="67" t="s">
        <v>108</v>
      </c>
      <c r="D10" s="62">
        <v>750000</v>
      </c>
      <c r="E10" s="63">
        <v>2066</v>
      </c>
      <c r="F10" s="49">
        <f t="shared" si="0"/>
        <v>2836196.8812385048</v>
      </c>
      <c r="G10" s="49">
        <f t="shared" si="1"/>
        <v>141809.84406192525</v>
      </c>
      <c r="H10" s="49">
        <f t="shared" si="2"/>
        <v>2978006.7253004299</v>
      </c>
      <c r="I10" s="50">
        <f t="shared" si="3"/>
        <v>60000</v>
      </c>
      <c r="J10" s="48">
        <f t="shared" si="4"/>
        <v>2065</v>
      </c>
      <c r="K10" s="57">
        <f t="shared" si="5"/>
        <v>220287.13640687417</v>
      </c>
      <c r="M10">
        <v>2028</v>
      </c>
      <c r="N10" s="44">
        <f t="shared" ca="1" si="6"/>
        <v>0</v>
      </c>
      <c r="O10" s="44">
        <f t="shared" ca="1" si="7"/>
        <v>0</v>
      </c>
    </row>
    <row r="11" spans="2:15" x14ac:dyDescent="0.25">
      <c r="B11" s="56" t="str">
        <f t="shared" si="8"/>
        <v/>
      </c>
      <c r="C11" s="67"/>
      <c r="D11" s="62"/>
      <c r="E11" s="63"/>
      <c r="F11" s="49"/>
      <c r="G11" s="49"/>
      <c r="H11" s="49"/>
      <c r="I11" s="50"/>
      <c r="J11" s="48"/>
      <c r="K11" s="57"/>
      <c r="M11">
        <v>2029</v>
      </c>
      <c r="N11" s="44">
        <f t="shared" ca="1" si="6"/>
        <v>0</v>
      </c>
      <c r="O11" s="44">
        <f t="shared" ca="1" si="7"/>
        <v>0</v>
      </c>
    </row>
    <row r="12" spans="2:15" x14ac:dyDescent="0.25">
      <c r="B12" s="56" t="str">
        <f t="shared" si="8"/>
        <v/>
      </c>
      <c r="C12" s="67"/>
      <c r="D12" s="62"/>
      <c r="E12" s="63"/>
      <c r="F12" s="49"/>
      <c r="G12" s="49"/>
      <c r="H12" s="49"/>
      <c r="I12" s="50"/>
      <c r="J12" s="48"/>
      <c r="K12" s="57"/>
      <c r="M12">
        <v>2030</v>
      </c>
      <c r="N12" s="44">
        <f t="shared" ca="1" si="6"/>
        <v>0</v>
      </c>
      <c r="O12" s="44">
        <f t="shared" ca="1" si="7"/>
        <v>0</v>
      </c>
    </row>
    <row r="13" spans="2:15" x14ac:dyDescent="0.25">
      <c r="B13" s="56" t="str">
        <f t="shared" si="8"/>
        <v/>
      </c>
      <c r="C13" s="67"/>
      <c r="D13" s="62"/>
      <c r="E13" s="63"/>
      <c r="F13" s="49"/>
      <c r="G13" s="49"/>
      <c r="H13" s="49"/>
      <c r="I13" s="50"/>
      <c r="J13" s="48"/>
      <c r="K13" s="57"/>
      <c r="M13">
        <v>2031</v>
      </c>
      <c r="N13" s="44">
        <f t="shared" ca="1" si="6"/>
        <v>343289.99993966246</v>
      </c>
      <c r="O13" s="44">
        <f t="shared" ca="1" si="7"/>
        <v>0</v>
      </c>
    </row>
    <row r="14" spans="2:15" x14ac:dyDescent="0.25">
      <c r="B14" s="56" t="str">
        <f t="shared" si="8"/>
        <v/>
      </c>
      <c r="C14" s="67"/>
      <c r="D14" s="62"/>
      <c r="E14" s="63"/>
      <c r="F14" s="49"/>
      <c r="G14" s="49"/>
      <c r="H14" s="49"/>
      <c r="I14" s="50"/>
      <c r="J14" s="48"/>
      <c r="K14" s="57"/>
      <c r="M14">
        <v>2032</v>
      </c>
      <c r="N14" s="44">
        <f t="shared" ca="1" si="6"/>
        <v>4640851.6866843114</v>
      </c>
      <c r="O14" s="44">
        <f t="shared" ca="1" si="7"/>
        <v>0</v>
      </c>
    </row>
    <row r="15" spans="2:15" x14ac:dyDescent="0.25">
      <c r="B15" s="56" t="str">
        <f t="shared" si="8"/>
        <v/>
      </c>
      <c r="C15" s="67"/>
      <c r="D15" s="62"/>
      <c r="E15" s="63"/>
      <c r="F15" s="49"/>
      <c r="G15" s="49"/>
      <c r="H15" s="49"/>
      <c r="I15" s="50"/>
      <c r="J15" s="48"/>
      <c r="K15" s="57"/>
      <c r="M15">
        <v>2033</v>
      </c>
      <c r="N15" s="44">
        <f t="shared" ca="1" si="6"/>
        <v>85545.653210770717</v>
      </c>
      <c r="O15" s="44">
        <f t="shared" ca="1" si="7"/>
        <v>0</v>
      </c>
    </row>
    <row r="16" spans="2:15" x14ac:dyDescent="0.25">
      <c r="B16" s="56" t="str">
        <f t="shared" si="8"/>
        <v/>
      </c>
      <c r="C16" s="67"/>
      <c r="D16" s="62"/>
      <c r="E16" s="63"/>
      <c r="F16" s="49"/>
      <c r="G16" s="49"/>
      <c r="H16" s="49"/>
      <c r="I16" s="50"/>
      <c r="J16" s="48"/>
      <c r="K16" s="57"/>
      <c r="M16">
        <v>2034</v>
      </c>
      <c r="N16" s="44">
        <f t="shared" ca="1" si="6"/>
        <v>1156470.2993431066</v>
      </c>
      <c r="O16" s="44">
        <f t="shared" ca="1" si="7"/>
        <v>0</v>
      </c>
    </row>
    <row r="17" spans="2:15" x14ac:dyDescent="0.25">
      <c r="B17" s="56" t="str">
        <f t="shared" si="8"/>
        <v/>
      </c>
      <c r="C17" s="67"/>
      <c r="D17" s="62"/>
      <c r="E17" s="63"/>
      <c r="F17" s="49"/>
      <c r="G17" s="49"/>
      <c r="H17" s="49"/>
      <c r="I17" s="50"/>
      <c r="J17" s="48"/>
      <c r="K17" s="57"/>
      <c r="M17">
        <v>2035</v>
      </c>
      <c r="N17" s="44">
        <f t="shared" ca="1" si="6"/>
        <v>0</v>
      </c>
      <c r="O17" s="44">
        <f t="shared" ca="1" si="7"/>
        <v>0</v>
      </c>
    </row>
    <row r="18" spans="2:15" x14ac:dyDescent="0.25">
      <c r="B18" s="56" t="str">
        <f t="shared" si="8"/>
        <v/>
      </c>
      <c r="C18" s="67"/>
      <c r="D18" s="62"/>
      <c r="E18" s="63"/>
      <c r="F18" s="49"/>
      <c r="G18" s="49"/>
      <c r="H18" s="49"/>
      <c r="I18" s="50"/>
      <c r="J18" s="48"/>
      <c r="K18" s="57"/>
      <c r="M18">
        <v>2036</v>
      </c>
      <c r="N18" s="44">
        <f t="shared" ca="1" si="6"/>
        <v>0</v>
      </c>
      <c r="O18" s="44">
        <f t="shared" ca="1" si="7"/>
        <v>0</v>
      </c>
    </row>
    <row r="19" spans="2:15" x14ac:dyDescent="0.25">
      <c r="B19" s="56" t="str">
        <f t="shared" si="8"/>
        <v/>
      </c>
      <c r="C19" s="67"/>
      <c r="D19" s="62"/>
      <c r="E19" s="63"/>
      <c r="F19" s="49"/>
      <c r="G19" s="49"/>
      <c r="H19" s="49"/>
      <c r="I19" s="50"/>
      <c r="J19" s="48"/>
      <c r="K19" s="57"/>
      <c r="M19">
        <v>2037</v>
      </c>
      <c r="N19" s="44">
        <f t="shared" ca="1" si="6"/>
        <v>0</v>
      </c>
      <c r="O19" s="44">
        <f t="shared" ca="1" si="7"/>
        <v>0</v>
      </c>
    </row>
    <row r="20" spans="2:15" x14ac:dyDescent="0.25">
      <c r="B20" s="56" t="str">
        <f t="shared" si="8"/>
        <v/>
      </c>
      <c r="C20" s="67"/>
      <c r="D20" s="62"/>
      <c r="E20" s="63"/>
      <c r="F20" s="49"/>
      <c r="G20" s="49"/>
      <c r="H20" s="49"/>
      <c r="I20" s="50"/>
      <c r="J20" s="48"/>
      <c r="K20" s="57"/>
      <c r="M20">
        <v>2038</v>
      </c>
      <c r="N20" s="44">
        <f t="shared" ca="1" si="6"/>
        <v>0</v>
      </c>
      <c r="O20" s="44">
        <f t="shared" ca="1" si="7"/>
        <v>0</v>
      </c>
    </row>
    <row r="21" spans="2:15" x14ac:dyDescent="0.25">
      <c r="B21" s="56" t="str">
        <f t="shared" si="8"/>
        <v/>
      </c>
      <c r="C21" s="67"/>
      <c r="D21" s="62"/>
      <c r="E21" s="63"/>
      <c r="F21" s="49"/>
      <c r="G21" s="49"/>
      <c r="H21" s="49"/>
      <c r="I21" s="50"/>
      <c r="J21" s="48"/>
      <c r="K21" s="57"/>
      <c r="M21">
        <v>2039</v>
      </c>
      <c r="N21" s="44">
        <f t="shared" ca="1" si="6"/>
        <v>572970.87109090178</v>
      </c>
      <c r="O21" s="44">
        <f t="shared" ca="1" si="7"/>
        <v>0</v>
      </c>
    </row>
    <row r="22" spans="2:15" x14ac:dyDescent="0.25">
      <c r="B22" s="56" t="str">
        <f t="shared" si="8"/>
        <v/>
      </c>
      <c r="C22" s="67"/>
      <c r="D22" s="62"/>
      <c r="E22" s="63"/>
      <c r="F22" s="49"/>
      <c r="G22" s="49"/>
      <c r="H22" s="49"/>
      <c r="I22" s="50"/>
      <c r="J22" s="48"/>
      <c r="K22" s="57"/>
      <c r="M22">
        <v>2040</v>
      </c>
      <c r="N22" s="44">
        <f t="shared" ca="1" si="6"/>
        <v>7745849.9635601286</v>
      </c>
      <c r="O22" s="44">
        <f t="shared" ca="1" si="7"/>
        <v>0</v>
      </c>
    </row>
    <row r="23" spans="2:15" x14ac:dyDescent="0.25">
      <c r="B23" s="56" t="str">
        <f t="shared" si="8"/>
        <v/>
      </c>
      <c r="C23" s="67"/>
      <c r="D23" s="62"/>
      <c r="E23" s="63"/>
      <c r="F23" s="49"/>
      <c r="G23" s="49"/>
      <c r="H23" s="49"/>
      <c r="I23" s="50"/>
      <c r="J23" s="48"/>
      <c r="K23" s="57"/>
      <c r="M23">
        <v>2041</v>
      </c>
      <c r="N23" s="44">
        <f t="shared" ca="1" si="6"/>
        <v>0</v>
      </c>
      <c r="O23" s="44">
        <f t="shared" ca="1" si="7"/>
        <v>0</v>
      </c>
    </row>
    <row r="24" spans="2:15" x14ac:dyDescent="0.25">
      <c r="B24" s="56" t="str">
        <f t="shared" si="8"/>
        <v/>
      </c>
      <c r="C24" s="67"/>
      <c r="D24" s="62"/>
      <c r="E24" s="63"/>
      <c r="F24" s="49"/>
      <c r="G24" s="49"/>
      <c r="H24" s="49"/>
      <c r="I24" s="50"/>
      <c r="J24" s="48"/>
      <c r="K24" s="57"/>
      <c r="M24">
        <v>2042</v>
      </c>
      <c r="N24" s="44">
        <f t="shared" ca="1" si="6"/>
        <v>0</v>
      </c>
      <c r="O24" s="44">
        <f t="shared" ca="1" si="7"/>
        <v>0</v>
      </c>
    </row>
    <row r="25" spans="2:15" x14ac:dyDescent="0.25">
      <c r="B25" s="56" t="str">
        <f t="shared" si="8"/>
        <v/>
      </c>
      <c r="C25" s="67"/>
      <c r="D25" s="62"/>
      <c r="E25" s="63"/>
      <c r="F25" s="49"/>
      <c r="G25" s="49"/>
      <c r="H25" s="49"/>
      <c r="I25" s="50"/>
      <c r="J25" s="48"/>
      <c r="K25" s="57"/>
      <c r="M25">
        <v>2043</v>
      </c>
      <c r="N25" s="44">
        <f t="shared" ca="1" si="6"/>
        <v>0</v>
      </c>
      <c r="O25" s="44">
        <f t="shared" ca="1" si="7"/>
        <v>0</v>
      </c>
    </row>
    <row r="26" spans="2:15" x14ac:dyDescent="0.25">
      <c r="B26" s="56" t="str">
        <f t="shared" si="8"/>
        <v/>
      </c>
      <c r="C26" s="67"/>
      <c r="D26" s="62"/>
      <c r="E26" s="63"/>
      <c r="F26" s="49"/>
      <c r="G26" s="49"/>
      <c r="H26" s="49"/>
      <c r="I26" s="50"/>
      <c r="J26" s="48"/>
      <c r="K26" s="57"/>
      <c r="M26">
        <v>2044</v>
      </c>
      <c r="N26" s="44">
        <f t="shared" ca="1" si="6"/>
        <v>0</v>
      </c>
      <c r="O26" s="44">
        <f t="shared" ca="1" si="7"/>
        <v>0</v>
      </c>
    </row>
    <row r="27" spans="2:15" x14ac:dyDescent="0.25">
      <c r="B27" s="56" t="str">
        <f t="shared" si="8"/>
        <v/>
      </c>
      <c r="C27" s="67"/>
      <c r="D27" s="62"/>
      <c r="E27" s="63"/>
      <c r="F27" s="49"/>
      <c r="G27" s="49"/>
      <c r="H27" s="49"/>
      <c r="I27" s="50"/>
      <c r="J27" s="48"/>
      <c r="K27" s="57"/>
      <c r="M27">
        <v>2045</v>
      </c>
      <c r="N27" s="44">
        <f t="shared" ca="1" si="6"/>
        <v>0</v>
      </c>
      <c r="O27" s="44">
        <f t="shared" ca="1" si="7"/>
        <v>0</v>
      </c>
    </row>
    <row r="28" spans="2:15" ht="13" thickBot="1" x14ac:dyDescent="0.3">
      <c r="B28" s="58" t="str">
        <f t="shared" si="8"/>
        <v/>
      </c>
      <c r="C28" s="64"/>
      <c r="D28" s="65"/>
      <c r="E28" s="65"/>
      <c r="F28" s="59"/>
      <c r="G28" s="59"/>
      <c r="H28" s="59"/>
      <c r="I28" s="59"/>
      <c r="J28" s="59"/>
      <c r="K28" s="60"/>
      <c r="M28">
        <v>2046</v>
      </c>
      <c r="N28" s="44">
        <f t="shared" ca="1" si="6"/>
        <v>0</v>
      </c>
      <c r="O28" s="44">
        <f t="shared" ca="1" si="7"/>
        <v>0</v>
      </c>
    </row>
    <row r="29" spans="2:15" x14ac:dyDescent="0.25">
      <c r="M29">
        <v>2047</v>
      </c>
      <c r="N29" s="44">
        <f t="shared" ca="1" si="6"/>
        <v>0</v>
      </c>
      <c r="O29" s="44">
        <f t="shared" ca="1" si="7"/>
        <v>0</v>
      </c>
    </row>
    <row r="30" spans="2:15" x14ac:dyDescent="0.25">
      <c r="C30" s="47" t="s">
        <v>93</v>
      </c>
      <c r="D30" s="44">
        <f>'Closure costs'!J25</f>
        <v>6838000</v>
      </c>
      <c r="E30" s="1">
        <v>2067</v>
      </c>
      <c r="F30" s="44">
        <f>D30*(1+Inf)^(E30-2021)</f>
        <v>26634308.93616822</v>
      </c>
      <c r="G30" s="44">
        <f>(D30*5%)*(1+Inf)^(E30-2021)</f>
        <v>1331715.446808411</v>
      </c>
      <c r="H30" s="44">
        <f>SUM(F30:G30)</f>
        <v>27966024.382976633</v>
      </c>
      <c r="I30" s="45">
        <f>D30*8%</f>
        <v>547040</v>
      </c>
      <c r="J30" s="1">
        <f>E30-1</f>
        <v>2066</v>
      </c>
      <c r="K30" s="44">
        <f>I30*(1+Inf)^(J30-2021)</f>
        <v>2068684.189216949</v>
      </c>
      <c r="M30">
        <v>2048</v>
      </c>
      <c r="N30" s="44">
        <f t="shared" ca="1" si="6"/>
        <v>0</v>
      </c>
      <c r="O30" s="44">
        <f t="shared" ca="1" si="7"/>
        <v>0</v>
      </c>
    </row>
    <row r="31" spans="2:15" x14ac:dyDescent="0.25">
      <c r="M31">
        <v>2049</v>
      </c>
      <c r="N31" s="44">
        <f t="shared" ca="1" si="6"/>
        <v>0</v>
      </c>
      <c r="O31" s="44">
        <f t="shared" ca="1" si="7"/>
        <v>0</v>
      </c>
    </row>
    <row r="32" spans="2:15" x14ac:dyDescent="0.25">
      <c r="M32">
        <v>2050</v>
      </c>
      <c r="N32" s="44">
        <f t="shared" ca="1" si="6"/>
        <v>0</v>
      </c>
      <c r="O32" s="44">
        <f t="shared" ca="1" si="7"/>
        <v>0</v>
      </c>
    </row>
    <row r="33" spans="5:15" x14ac:dyDescent="0.25">
      <c r="M33">
        <v>2051</v>
      </c>
      <c r="N33" s="44">
        <f t="shared" ca="1" si="6"/>
        <v>966050.46353348426</v>
      </c>
      <c r="O33" s="44">
        <f t="shared" ca="1" si="7"/>
        <v>0</v>
      </c>
    </row>
    <row r="34" spans="5:15" x14ac:dyDescent="0.25">
      <c r="M34">
        <v>2052</v>
      </c>
      <c r="N34" s="44">
        <f t="shared" ca="1" si="6"/>
        <v>13059794.703893293</v>
      </c>
      <c r="O34" s="44">
        <f t="shared" ca="1" si="7"/>
        <v>0</v>
      </c>
    </row>
    <row r="35" spans="5:15" x14ac:dyDescent="0.25">
      <c r="M35">
        <v>2053</v>
      </c>
      <c r="N35" s="44">
        <f t="shared" ca="1" si="6"/>
        <v>0</v>
      </c>
      <c r="O35" s="44">
        <f t="shared" ca="1" si="7"/>
        <v>0</v>
      </c>
    </row>
    <row r="36" spans="5:15" x14ac:dyDescent="0.25">
      <c r="M36">
        <v>2054</v>
      </c>
      <c r="N36" s="44">
        <f t="shared" ca="1" si="6"/>
        <v>0</v>
      </c>
      <c r="O36" s="44">
        <f t="shared" ca="1" si="7"/>
        <v>0</v>
      </c>
    </row>
    <row r="37" spans="5:15" x14ac:dyDescent="0.25">
      <c r="M37">
        <v>2055</v>
      </c>
      <c r="N37" s="44">
        <f t="shared" ca="1" si="6"/>
        <v>0</v>
      </c>
      <c r="O37" s="44">
        <f t="shared" ca="1" si="7"/>
        <v>0</v>
      </c>
    </row>
    <row r="38" spans="5:15" x14ac:dyDescent="0.25">
      <c r="M38">
        <v>2056</v>
      </c>
      <c r="N38" s="44">
        <f t="shared" ca="1" si="6"/>
        <v>0</v>
      </c>
      <c r="O38" s="44">
        <f t="shared" ca="1" si="7"/>
        <v>0</v>
      </c>
    </row>
    <row r="39" spans="5:15" x14ac:dyDescent="0.25">
      <c r="M39">
        <v>2057</v>
      </c>
      <c r="N39" s="44">
        <f t="shared" ca="1" si="6"/>
        <v>0</v>
      </c>
      <c r="O39" s="44">
        <f t="shared" ca="1" si="7"/>
        <v>0</v>
      </c>
    </row>
    <row r="40" spans="5:15" x14ac:dyDescent="0.25">
      <c r="M40">
        <v>2058</v>
      </c>
      <c r="N40" s="44">
        <f t="shared" ca="1" si="6"/>
        <v>0</v>
      </c>
      <c r="O40" s="44">
        <f t="shared" ca="1" si="7"/>
        <v>0</v>
      </c>
    </row>
    <row r="41" spans="5:15" x14ac:dyDescent="0.25">
      <c r="M41">
        <v>2059</v>
      </c>
      <c r="N41" s="44">
        <f t="shared" ca="1" si="6"/>
        <v>0</v>
      </c>
      <c r="O41" s="44">
        <f t="shared" ca="1" si="7"/>
        <v>0</v>
      </c>
    </row>
    <row r="42" spans="5:15" x14ac:dyDescent="0.25">
      <c r="M42">
        <v>2060</v>
      </c>
      <c r="N42" s="44">
        <f t="shared" ca="1" si="6"/>
        <v>0</v>
      </c>
      <c r="O42" s="44">
        <f t="shared" ca="1" si="7"/>
        <v>0</v>
      </c>
    </row>
    <row r="43" spans="5:15" x14ac:dyDescent="0.25">
      <c r="M43">
        <v>2061</v>
      </c>
      <c r="N43" s="44">
        <f t="shared" ca="1" si="6"/>
        <v>0</v>
      </c>
      <c r="O43" s="44">
        <f t="shared" ca="1" si="7"/>
        <v>0</v>
      </c>
    </row>
    <row r="44" spans="5:15" x14ac:dyDescent="0.25">
      <c r="M44">
        <v>2062</v>
      </c>
      <c r="N44" s="44">
        <f t="shared" ca="1" si="6"/>
        <v>0</v>
      </c>
      <c r="O44" s="44">
        <f t="shared" ca="1" si="7"/>
        <v>0</v>
      </c>
    </row>
    <row r="45" spans="5:15" x14ac:dyDescent="0.25">
      <c r="M45">
        <v>2063</v>
      </c>
      <c r="N45" s="44">
        <f t="shared" ca="1" si="6"/>
        <v>0</v>
      </c>
      <c r="O45" s="44">
        <f t="shared" ca="1" si="7"/>
        <v>0</v>
      </c>
    </row>
    <row r="46" spans="5:15" x14ac:dyDescent="0.25">
      <c r="E46" s="397"/>
      <c r="M46">
        <v>2064</v>
      </c>
      <c r="N46" s="44">
        <f t="shared" ca="1" si="6"/>
        <v>0</v>
      </c>
      <c r="O46" s="44">
        <f t="shared" ca="1" si="7"/>
        <v>0</v>
      </c>
    </row>
    <row r="47" spans="5:15" x14ac:dyDescent="0.25">
      <c r="M47">
        <v>2065</v>
      </c>
      <c r="N47" s="44">
        <f t="shared" ca="1" si="6"/>
        <v>3185645.7086252766</v>
      </c>
      <c r="O47" s="44">
        <f t="shared" ca="1" si="7"/>
        <v>0</v>
      </c>
    </row>
    <row r="48" spans="5:15" x14ac:dyDescent="0.25">
      <c r="M48">
        <v>2066</v>
      </c>
      <c r="N48" s="44">
        <f t="shared" ca="1" si="6"/>
        <v>43065947.923477963</v>
      </c>
      <c r="O48" s="44">
        <f t="shared" ca="1" si="7"/>
        <v>2068684.189216949</v>
      </c>
    </row>
    <row r="49" spans="13:15" x14ac:dyDescent="0.25">
      <c r="M49">
        <v>2067</v>
      </c>
      <c r="N49" s="44">
        <f t="shared" ca="1" si="6"/>
        <v>0</v>
      </c>
      <c r="O49" s="44">
        <f t="shared" ca="1" si="7"/>
        <v>27966024.382976633</v>
      </c>
    </row>
    <row r="50" spans="13:15" x14ac:dyDescent="0.25">
      <c r="M50">
        <v>2068</v>
      </c>
      <c r="N50" s="44">
        <f t="shared" ca="1" si="6"/>
        <v>0</v>
      </c>
      <c r="O50" s="44">
        <f t="shared" ca="1" si="7"/>
        <v>0</v>
      </c>
    </row>
    <row r="51" spans="13:15" x14ac:dyDescent="0.25">
      <c r="M51">
        <v>2069</v>
      </c>
      <c r="N51" s="44">
        <f t="shared" ca="1" si="6"/>
        <v>0</v>
      </c>
      <c r="O51" s="44">
        <f t="shared" ca="1" si="7"/>
        <v>0</v>
      </c>
    </row>
  </sheetData>
  <sheetProtection algorithmName="SHA-512" hashValue="h7yzdRmVpJJ2N0f50CZLM8F3vRKI1iaDEkiyrDTb5nLXm4V1+a6w3qS3jTe+2zq9dLL067d1FQx10qL6o0kdDw==" saltValue="4XC2E2HNhJUEkW1ZVeIqgQ==" spinCount="100000" sheet="1" objects="1" scenarios="1"/>
  <pageMargins left="0.7" right="0.7" top="0.75" bottom="0.75" header="0.3" footer="0.3"/>
  <pageSetup scale="40"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C2B1-74A7-40B5-A2F2-8BDF53EB13FD}">
  <sheetPr codeName="Sheet9"/>
  <dimension ref="B2:V50"/>
  <sheetViews>
    <sheetView workbookViewId="0">
      <selection activeCell="C26" sqref="C26"/>
    </sheetView>
  </sheetViews>
  <sheetFormatPr defaultRowHeight="12.5" x14ac:dyDescent="0.25"/>
  <cols>
    <col min="2" max="2" width="27.1796875" bestFit="1" customWidth="1"/>
    <col min="3" max="3" width="14.81640625" bestFit="1" customWidth="1"/>
    <col min="4" max="4" width="18.7265625" bestFit="1" customWidth="1"/>
    <col min="5" max="5" width="19.1796875" bestFit="1" customWidth="1"/>
    <col min="6" max="6" width="14.7265625" bestFit="1" customWidth="1"/>
    <col min="10" max="12" width="9.1796875" hidden="1" customWidth="1"/>
    <col min="13" max="13" width="10" bestFit="1" customWidth="1"/>
    <col min="14" max="16" width="9.1796875" hidden="1" customWidth="1"/>
    <col min="17" max="17" width="9.26953125" bestFit="1" customWidth="1"/>
    <col min="18" max="19" width="0" hidden="1" customWidth="1"/>
    <col min="20" max="20" width="17.26953125" bestFit="1" customWidth="1"/>
    <col min="21" max="21" width="15" bestFit="1" customWidth="1"/>
    <col min="22" max="22" width="90.453125" bestFit="1" customWidth="1"/>
  </cols>
  <sheetData>
    <row r="2" spans="2:22" ht="13.5" thickBot="1" x14ac:dyDescent="0.35">
      <c r="B2" s="507" t="s">
        <v>440</v>
      </c>
      <c r="G2" t="s">
        <v>484</v>
      </c>
    </row>
    <row r="3" spans="2:22" ht="13.5" thickBot="1" x14ac:dyDescent="0.3">
      <c r="B3" s="476" t="s">
        <v>363</v>
      </c>
      <c r="C3" s="477" t="s">
        <v>124</v>
      </c>
      <c r="D3" s="477" t="s">
        <v>364</v>
      </c>
      <c r="E3" s="477" t="s">
        <v>365</v>
      </c>
      <c r="F3" s="477" t="s">
        <v>366</v>
      </c>
      <c r="G3" s="525" t="s">
        <v>485</v>
      </c>
      <c r="H3" s="481"/>
      <c r="I3" s="481" t="s">
        <v>15</v>
      </c>
      <c r="J3" s="481" t="s">
        <v>391</v>
      </c>
      <c r="K3" s="481" t="s">
        <v>392</v>
      </c>
      <c r="L3" s="481" t="s">
        <v>393</v>
      </c>
      <c r="M3" s="481" t="s">
        <v>299</v>
      </c>
      <c r="N3" s="481" t="s">
        <v>391</v>
      </c>
      <c r="O3" s="481" t="s">
        <v>392</v>
      </c>
      <c r="P3" s="481" t="s">
        <v>393</v>
      </c>
      <c r="Q3" s="481" t="s">
        <v>300</v>
      </c>
      <c r="R3" s="481" t="s">
        <v>392</v>
      </c>
      <c r="S3" s="481" t="s">
        <v>393</v>
      </c>
      <c r="T3" s="481" t="s">
        <v>445</v>
      </c>
      <c r="U3" s="481" t="s">
        <v>446</v>
      </c>
      <c r="V3" s="481" t="s">
        <v>185</v>
      </c>
    </row>
    <row r="4" spans="2:22" ht="13.5" thickBot="1" x14ac:dyDescent="0.35">
      <c r="B4" s="473" t="s">
        <v>13</v>
      </c>
      <c r="C4" s="474">
        <v>1</v>
      </c>
      <c r="D4" s="475">
        <v>1500</v>
      </c>
      <c r="E4" s="475">
        <f t="shared" ref="E4:E17" si="0">C4*D4</f>
        <v>1500</v>
      </c>
      <c r="F4" s="474">
        <v>5</v>
      </c>
      <c r="G4" s="475">
        <f>+E4/F4</f>
        <v>300</v>
      </c>
      <c r="H4" s="475"/>
      <c r="I4" s="474">
        <v>2023</v>
      </c>
      <c r="J4" s="484"/>
      <c r="K4" s="484"/>
      <c r="L4" s="484"/>
      <c r="M4" s="475">
        <f t="shared" ref="M4:M47" si="1">IF(J4=TRUE,$C$26*(1+Inf)^(I4-$I$4),0)+IF(K4=TRUE,$C$28*(1+Inf)^(I4-$I$4),0)+IF(L4=TRUE,$C$27*(1+Inf)^(I4-$I$4),0)</f>
        <v>0</v>
      </c>
      <c r="N4" s="485"/>
      <c r="O4" s="485"/>
      <c r="P4" s="485"/>
      <c r="Q4" s="475">
        <f t="shared" ref="Q4:Q47" si="2">IF(N4=TRUE,$C$31*(1+Inf)^(I4-$I$4),0)+IF(O4=TRUE,$C$33*(1+Inf)^(I4-$I$4),0)+IF(P4=TRUE,$C$32*(1+Inf)^(I4-$I$4),0)</f>
        <v>0</v>
      </c>
      <c r="R4" s="485"/>
      <c r="S4" s="485"/>
      <c r="T4" s="485"/>
      <c r="U4" s="485">
        <f>SUM(Q4,T4)</f>
        <v>0</v>
      </c>
      <c r="V4" s="483" t="s">
        <v>384</v>
      </c>
    </row>
    <row r="5" spans="2:22" ht="13.5" thickBot="1" x14ac:dyDescent="0.35">
      <c r="B5" s="473" t="s">
        <v>367</v>
      </c>
      <c r="C5" s="474">
        <v>1</v>
      </c>
      <c r="D5" s="475">
        <v>500</v>
      </c>
      <c r="E5" s="475">
        <f t="shared" si="0"/>
        <v>500</v>
      </c>
      <c r="F5" s="474">
        <v>5</v>
      </c>
      <c r="G5" s="475">
        <f t="shared" ref="G5:G21" si="3">+E5/F5</f>
        <v>100</v>
      </c>
      <c r="H5" s="475"/>
      <c r="I5" s="474">
        <v>2024</v>
      </c>
      <c r="J5" s="484"/>
      <c r="K5" s="484"/>
      <c r="L5" s="484"/>
      <c r="M5" s="475">
        <f t="shared" si="1"/>
        <v>0</v>
      </c>
      <c r="N5" s="485"/>
      <c r="O5" s="485"/>
      <c r="P5" s="485"/>
      <c r="Q5" s="475">
        <f t="shared" si="2"/>
        <v>0</v>
      </c>
      <c r="R5" s="485"/>
      <c r="S5" s="485"/>
      <c r="T5" s="485"/>
      <c r="U5" s="485">
        <f t="shared" ref="U5:U47" si="4">SUM(Q5,T5)</f>
        <v>0</v>
      </c>
      <c r="V5" s="483"/>
    </row>
    <row r="6" spans="2:22" ht="13.5" thickBot="1" x14ac:dyDescent="0.35">
      <c r="B6" s="473" t="s">
        <v>368</v>
      </c>
      <c r="C6" s="474">
        <v>1</v>
      </c>
      <c r="D6" s="475">
        <v>2000</v>
      </c>
      <c r="E6" s="475">
        <f t="shared" si="0"/>
        <v>2000</v>
      </c>
      <c r="F6" s="474">
        <v>5</v>
      </c>
      <c r="G6" s="475">
        <f t="shared" si="3"/>
        <v>400</v>
      </c>
      <c r="H6" s="475"/>
      <c r="I6" s="474">
        <v>2025</v>
      </c>
      <c r="J6" s="484" t="b">
        <f t="shared" ref="J6:J47" si="5">INT((I6-$I$5)/$D$26)=(I6-$I$5)/$D$26</f>
        <v>0</v>
      </c>
      <c r="K6" s="484" t="b">
        <f t="shared" ref="K6:K47" si="6">INT((I6-$I$5)/$D$27)=(I6-$I$5)/$D$27</f>
        <v>0</v>
      </c>
      <c r="L6" s="484" t="b">
        <f t="shared" ref="L6:L47" si="7">INT((I6-$I$5)/$D$28)=(I6-$I$5)/$D$28</f>
        <v>0</v>
      </c>
      <c r="M6" s="475">
        <f t="shared" si="1"/>
        <v>0</v>
      </c>
      <c r="N6" s="484" t="b">
        <f t="shared" ref="N6:N47" si="8">INT((I6-$I$5)/$D$31)=(I6-$I$5)/$D$31</f>
        <v>0</v>
      </c>
      <c r="O6" s="484" t="b">
        <f t="shared" ref="O6:O47" si="9">INT((I6-$I$5)/$D$32)=(I6-$I$5)/$D$32</f>
        <v>0</v>
      </c>
      <c r="P6" s="484" t="b">
        <f t="shared" ref="P6:P47" si="10">INT((I6-$I$5)/$D$33)=(I6-$I$5)/$D$33</f>
        <v>0</v>
      </c>
      <c r="Q6" s="475">
        <f t="shared" si="2"/>
        <v>0</v>
      </c>
      <c r="R6" s="484"/>
      <c r="S6" s="484"/>
      <c r="T6" s="485"/>
      <c r="U6" s="485">
        <f t="shared" si="4"/>
        <v>0</v>
      </c>
      <c r="V6" s="483"/>
    </row>
    <row r="7" spans="2:22" ht="13.5" thickBot="1" x14ac:dyDescent="0.35">
      <c r="B7" s="473" t="s">
        <v>369</v>
      </c>
      <c r="C7" s="474">
        <v>7</v>
      </c>
      <c r="D7" s="475">
        <v>200</v>
      </c>
      <c r="E7" s="475">
        <f t="shared" si="0"/>
        <v>1400</v>
      </c>
      <c r="F7" s="474">
        <v>5</v>
      </c>
      <c r="G7" s="475">
        <f t="shared" si="3"/>
        <v>280</v>
      </c>
      <c r="H7" s="475"/>
      <c r="I7" s="474">
        <v>2026</v>
      </c>
      <c r="J7" s="484" t="b">
        <f t="shared" si="5"/>
        <v>0</v>
      </c>
      <c r="K7" s="484" t="b">
        <f t="shared" si="6"/>
        <v>0</v>
      </c>
      <c r="L7" s="484" t="b">
        <f t="shared" si="7"/>
        <v>0</v>
      </c>
      <c r="M7" s="475">
        <f t="shared" si="1"/>
        <v>0</v>
      </c>
      <c r="N7" s="484" t="b">
        <f t="shared" si="8"/>
        <v>0</v>
      </c>
      <c r="O7" s="484" t="b">
        <f t="shared" si="9"/>
        <v>0</v>
      </c>
      <c r="P7" s="484" t="b">
        <f t="shared" si="10"/>
        <v>0</v>
      </c>
      <c r="Q7" s="475">
        <f t="shared" si="2"/>
        <v>0</v>
      </c>
      <c r="R7" s="484"/>
      <c r="S7" s="484"/>
      <c r="T7" s="485"/>
      <c r="U7" s="485">
        <f t="shared" si="4"/>
        <v>0</v>
      </c>
      <c r="V7" s="483"/>
    </row>
    <row r="8" spans="2:22" ht="13.5" thickBot="1" x14ac:dyDescent="0.35">
      <c r="B8" s="473" t="s">
        <v>370</v>
      </c>
      <c r="C8" s="474">
        <v>1</v>
      </c>
      <c r="D8" s="475">
        <v>8000</v>
      </c>
      <c r="E8" s="475">
        <f t="shared" si="0"/>
        <v>8000</v>
      </c>
      <c r="F8" s="474">
        <v>10</v>
      </c>
      <c r="G8" s="475">
        <f t="shared" si="3"/>
        <v>800</v>
      </c>
      <c r="H8" s="475"/>
      <c r="I8" s="474">
        <v>2027</v>
      </c>
      <c r="J8" s="484" t="b">
        <f t="shared" si="5"/>
        <v>0</v>
      </c>
      <c r="K8" s="484" t="b">
        <f t="shared" si="6"/>
        <v>0</v>
      </c>
      <c r="L8" s="484" t="b">
        <f t="shared" si="7"/>
        <v>0</v>
      </c>
      <c r="M8" s="475">
        <f t="shared" si="1"/>
        <v>0</v>
      </c>
      <c r="N8" s="484" t="b">
        <f t="shared" si="8"/>
        <v>0</v>
      </c>
      <c r="O8" s="484" t="b">
        <f t="shared" si="9"/>
        <v>0</v>
      </c>
      <c r="P8" s="484" t="b">
        <f t="shared" si="10"/>
        <v>0</v>
      </c>
      <c r="Q8" s="475">
        <f t="shared" si="2"/>
        <v>0</v>
      </c>
      <c r="R8" s="484"/>
      <c r="S8" s="484"/>
      <c r="T8" s="485"/>
      <c r="U8" s="485">
        <f t="shared" si="4"/>
        <v>0</v>
      </c>
      <c r="V8" s="483"/>
    </row>
    <row r="9" spans="2:22" ht="13.5" thickBot="1" x14ac:dyDescent="0.35">
      <c r="B9" s="473" t="s">
        <v>371</v>
      </c>
      <c r="C9" s="474">
        <v>1</v>
      </c>
      <c r="D9" s="475">
        <v>2000</v>
      </c>
      <c r="E9" s="475">
        <f t="shared" si="0"/>
        <v>2000</v>
      </c>
      <c r="F9" s="474">
        <v>10</v>
      </c>
      <c r="G9" s="475">
        <f t="shared" si="3"/>
        <v>200</v>
      </c>
      <c r="H9" s="475"/>
      <c r="I9" s="474">
        <v>2028</v>
      </c>
      <c r="J9" s="484" t="b">
        <f t="shared" si="5"/>
        <v>0</v>
      </c>
      <c r="K9" s="484" t="b">
        <f t="shared" si="6"/>
        <v>0</v>
      </c>
      <c r="L9" s="484" t="b">
        <f t="shared" si="7"/>
        <v>0</v>
      </c>
      <c r="M9" s="475">
        <f t="shared" si="1"/>
        <v>0</v>
      </c>
      <c r="N9" s="484" t="b">
        <f t="shared" si="8"/>
        <v>0</v>
      </c>
      <c r="O9" s="484" t="b">
        <f t="shared" si="9"/>
        <v>0</v>
      </c>
      <c r="P9" s="484" t="b">
        <f t="shared" si="10"/>
        <v>0</v>
      </c>
      <c r="Q9" s="475">
        <f t="shared" si="2"/>
        <v>0</v>
      </c>
      <c r="R9" s="484"/>
      <c r="S9" s="484"/>
      <c r="T9" s="485"/>
      <c r="U9" s="485">
        <f t="shared" si="4"/>
        <v>0</v>
      </c>
      <c r="V9" s="483"/>
    </row>
    <row r="10" spans="2:22" ht="13.5" thickBot="1" x14ac:dyDescent="0.35">
      <c r="B10" s="473" t="s">
        <v>373</v>
      </c>
      <c r="C10" s="474">
        <v>3</v>
      </c>
      <c r="D10" s="475">
        <v>40000</v>
      </c>
      <c r="E10" s="475">
        <f t="shared" si="0"/>
        <v>120000</v>
      </c>
      <c r="F10" s="474">
        <v>10</v>
      </c>
      <c r="G10" s="475">
        <f t="shared" si="3"/>
        <v>12000</v>
      </c>
      <c r="H10" s="475"/>
      <c r="I10" s="474">
        <v>2029</v>
      </c>
      <c r="J10" s="484" t="b">
        <f t="shared" si="5"/>
        <v>1</v>
      </c>
      <c r="K10" s="484" t="b">
        <f t="shared" si="6"/>
        <v>0</v>
      </c>
      <c r="L10" s="484" t="b">
        <f t="shared" si="7"/>
        <v>0</v>
      </c>
      <c r="M10" s="475">
        <f t="shared" si="1"/>
        <v>6447.8824012565992</v>
      </c>
      <c r="N10" s="484" t="b">
        <f t="shared" si="8"/>
        <v>1</v>
      </c>
      <c r="O10" s="484" t="b">
        <f t="shared" si="9"/>
        <v>0</v>
      </c>
      <c r="P10" s="484" t="b">
        <f t="shared" si="10"/>
        <v>0</v>
      </c>
      <c r="Q10" s="475">
        <f t="shared" si="2"/>
        <v>0</v>
      </c>
      <c r="R10" s="484"/>
      <c r="S10" s="484"/>
      <c r="T10" s="475">
        <f>SUM(C46:C47)</f>
        <v>1084000</v>
      </c>
      <c r="U10" s="485">
        <f t="shared" si="4"/>
        <v>1084000</v>
      </c>
      <c r="V10" s="483" t="s">
        <v>385</v>
      </c>
    </row>
    <row r="11" spans="2:22" ht="13.5" thickBot="1" x14ac:dyDescent="0.35">
      <c r="B11" s="473" t="s">
        <v>374</v>
      </c>
      <c r="C11" s="474">
        <v>1</v>
      </c>
      <c r="D11" s="475">
        <v>50000</v>
      </c>
      <c r="E11" s="475">
        <f t="shared" si="0"/>
        <v>50000</v>
      </c>
      <c r="F11" s="474">
        <v>10</v>
      </c>
      <c r="G11" s="475">
        <f t="shared" si="3"/>
        <v>5000</v>
      </c>
      <c r="H11" s="475"/>
      <c r="I11" s="474">
        <v>2030</v>
      </c>
      <c r="J11" s="484" t="b">
        <f t="shared" si="5"/>
        <v>0</v>
      </c>
      <c r="K11" s="484" t="b">
        <f t="shared" si="6"/>
        <v>0</v>
      </c>
      <c r="L11" s="484" t="b">
        <f t="shared" si="7"/>
        <v>0</v>
      </c>
      <c r="M11" s="475">
        <f t="shared" si="1"/>
        <v>0</v>
      </c>
      <c r="N11" s="484" t="b">
        <f t="shared" si="8"/>
        <v>0</v>
      </c>
      <c r="O11" s="484" t="b">
        <f t="shared" si="9"/>
        <v>0</v>
      </c>
      <c r="P11" s="484" t="b">
        <f t="shared" si="10"/>
        <v>0</v>
      </c>
      <c r="Q11" s="475">
        <f t="shared" si="2"/>
        <v>0</v>
      </c>
      <c r="R11" s="484" t="b">
        <f t="shared" ref="R11:R47" si="11">INT((I11-$I$10)/$D$46)=(I11-$I$10)/$D$46</f>
        <v>0</v>
      </c>
      <c r="S11" s="484" t="b">
        <f t="shared" ref="S11:S47" si="12">INT((I11-$I$10)/$D$47)=(I11-$I$10)/$D$47</f>
        <v>0</v>
      </c>
      <c r="T11" s="475">
        <f t="shared" ref="T11:T47" si="13">IF(R11=TRUE,$C$47*(1+Inf)^(I11-$I$4),0)+IF(S11=TRUE,$C$46*(1+Inf)^(I11-$I$4),0)</f>
        <v>0</v>
      </c>
      <c r="U11" s="485">
        <f t="shared" si="4"/>
        <v>0</v>
      </c>
      <c r="V11" s="483"/>
    </row>
    <row r="12" spans="2:22" ht="13.5" thickBot="1" x14ac:dyDescent="0.35">
      <c r="B12" s="473" t="s">
        <v>375</v>
      </c>
      <c r="C12" s="474">
        <v>1</v>
      </c>
      <c r="D12" s="475">
        <v>75000</v>
      </c>
      <c r="E12" s="475">
        <f t="shared" si="0"/>
        <v>75000</v>
      </c>
      <c r="F12" s="474">
        <v>15</v>
      </c>
      <c r="G12" s="475">
        <f t="shared" si="3"/>
        <v>5000</v>
      </c>
      <c r="H12" s="475"/>
      <c r="I12" s="474">
        <v>2031</v>
      </c>
      <c r="J12" s="484" t="b">
        <f t="shared" si="5"/>
        <v>0</v>
      </c>
      <c r="K12" s="484" t="b">
        <f t="shared" si="6"/>
        <v>0</v>
      </c>
      <c r="L12" s="484" t="b">
        <f t="shared" si="7"/>
        <v>0</v>
      </c>
      <c r="M12" s="475">
        <f t="shared" si="1"/>
        <v>0</v>
      </c>
      <c r="N12" s="484" t="b">
        <f t="shared" si="8"/>
        <v>0</v>
      </c>
      <c r="O12" s="484" t="b">
        <f t="shared" si="9"/>
        <v>0</v>
      </c>
      <c r="P12" s="484" t="b">
        <f t="shared" si="10"/>
        <v>0</v>
      </c>
      <c r="Q12" s="475">
        <f t="shared" si="2"/>
        <v>0</v>
      </c>
      <c r="R12" s="484" t="b">
        <f t="shared" si="11"/>
        <v>0</v>
      </c>
      <c r="S12" s="484" t="b">
        <f t="shared" si="12"/>
        <v>0</v>
      </c>
      <c r="T12" s="475">
        <f t="shared" si="13"/>
        <v>0</v>
      </c>
      <c r="U12" s="485">
        <f t="shared" si="4"/>
        <v>0</v>
      </c>
      <c r="V12" s="483"/>
    </row>
    <row r="13" spans="2:22" ht="13.5" thickBot="1" x14ac:dyDescent="0.35">
      <c r="B13" s="473" t="s">
        <v>376</v>
      </c>
      <c r="C13" s="474">
        <v>1</v>
      </c>
      <c r="D13" s="475">
        <v>200000</v>
      </c>
      <c r="E13" s="475">
        <f t="shared" si="0"/>
        <v>200000</v>
      </c>
      <c r="F13" s="474">
        <v>15</v>
      </c>
      <c r="G13" s="475">
        <f t="shared" si="3"/>
        <v>13333.333333333334</v>
      </c>
      <c r="H13" s="475"/>
      <c r="I13" s="474">
        <v>2032</v>
      </c>
      <c r="J13" s="484" t="b">
        <f t="shared" si="5"/>
        <v>0</v>
      </c>
      <c r="K13" s="484" t="b">
        <f t="shared" si="6"/>
        <v>0</v>
      </c>
      <c r="L13" s="484" t="b">
        <f t="shared" si="7"/>
        <v>0</v>
      </c>
      <c r="M13" s="475">
        <f t="shared" si="1"/>
        <v>0</v>
      </c>
      <c r="N13" s="484" t="b">
        <f t="shared" si="8"/>
        <v>0</v>
      </c>
      <c r="O13" s="484" t="b">
        <f t="shared" si="9"/>
        <v>0</v>
      </c>
      <c r="P13" s="484" t="b">
        <f t="shared" si="10"/>
        <v>0</v>
      </c>
      <c r="Q13" s="475">
        <f t="shared" si="2"/>
        <v>0</v>
      </c>
      <c r="R13" s="484" t="b">
        <f t="shared" si="11"/>
        <v>0</v>
      </c>
      <c r="S13" s="484" t="b">
        <f t="shared" si="12"/>
        <v>0</v>
      </c>
      <c r="T13" s="475">
        <f t="shared" si="13"/>
        <v>0</v>
      </c>
      <c r="U13" s="485">
        <f t="shared" si="4"/>
        <v>0</v>
      </c>
      <c r="V13" s="483"/>
    </row>
    <row r="14" spans="2:22" ht="13.5" thickBot="1" x14ac:dyDescent="0.35">
      <c r="B14" s="473" t="s">
        <v>377</v>
      </c>
      <c r="C14" s="474">
        <v>2</v>
      </c>
      <c r="D14" s="475">
        <v>511087</v>
      </c>
      <c r="E14" s="475">
        <f t="shared" si="0"/>
        <v>1022174</v>
      </c>
      <c r="F14" s="474">
        <v>15</v>
      </c>
      <c r="G14" s="475">
        <f t="shared" si="3"/>
        <v>68144.933333333334</v>
      </c>
      <c r="H14" s="475"/>
      <c r="I14" s="474">
        <v>2033</v>
      </c>
      <c r="J14" s="484" t="b">
        <f t="shared" si="5"/>
        <v>0</v>
      </c>
      <c r="K14" s="484" t="b">
        <f t="shared" si="6"/>
        <v>0</v>
      </c>
      <c r="L14" s="484" t="b">
        <f t="shared" si="7"/>
        <v>0</v>
      </c>
      <c r="M14" s="475">
        <f t="shared" si="1"/>
        <v>0</v>
      </c>
      <c r="N14" s="484" t="b">
        <f t="shared" si="8"/>
        <v>0</v>
      </c>
      <c r="O14" s="484" t="b">
        <f t="shared" si="9"/>
        <v>0</v>
      </c>
      <c r="P14" s="484" t="b">
        <f t="shared" si="10"/>
        <v>0</v>
      </c>
      <c r="Q14" s="475">
        <f t="shared" si="2"/>
        <v>0</v>
      </c>
      <c r="R14" s="484" t="b">
        <f t="shared" si="11"/>
        <v>0</v>
      </c>
      <c r="S14" s="484" t="b">
        <f t="shared" si="12"/>
        <v>0</v>
      </c>
      <c r="T14" s="475">
        <f t="shared" si="13"/>
        <v>0</v>
      </c>
      <c r="U14" s="485">
        <f t="shared" si="4"/>
        <v>0</v>
      </c>
      <c r="V14" s="483"/>
    </row>
    <row r="15" spans="2:22" ht="13.5" thickBot="1" x14ac:dyDescent="0.35">
      <c r="B15" s="473" t="s">
        <v>378</v>
      </c>
      <c r="C15" s="474">
        <v>1</v>
      </c>
      <c r="D15" s="475">
        <v>503299</v>
      </c>
      <c r="E15" s="475">
        <f t="shared" si="0"/>
        <v>503299</v>
      </c>
      <c r="F15" s="474">
        <v>15</v>
      </c>
      <c r="G15" s="475">
        <f t="shared" si="3"/>
        <v>33553.26666666667</v>
      </c>
      <c r="H15" s="475"/>
      <c r="I15" s="474">
        <v>2034</v>
      </c>
      <c r="J15" s="484" t="b">
        <f t="shared" si="5"/>
        <v>1</v>
      </c>
      <c r="K15" s="484" t="b">
        <f t="shared" si="6"/>
        <v>1</v>
      </c>
      <c r="L15" s="484" t="b">
        <f t="shared" si="7"/>
        <v>0</v>
      </c>
      <c r="M15" s="475">
        <f t="shared" si="1"/>
        <v>4416299.8839415219</v>
      </c>
      <c r="N15" s="484" t="b">
        <f t="shared" si="8"/>
        <v>1</v>
      </c>
      <c r="O15" s="484" t="b">
        <f t="shared" si="9"/>
        <v>1</v>
      </c>
      <c r="P15" s="484" t="b">
        <f t="shared" si="10"/>
        <v>0</v>
      </c>
      <c r="Q15" s="475">
        <f t="shared" si="2"/>
        <v>2033439.5560942104</v>
      </c>
      <c r="R15" s="484" t="b">
        <f t="shared" si="11"/>
        <v>0</v>
      </c>
      <c r="S15" s="484" t="b">
        <f t="shared" si="12"/>
        <v>0</v>
      </c>
      <c r="T15" s="475">
        <f t="shared" si="13"/>
        <v>0</v>
      </c>
      <c r="U15" s="485">
        <f t="shared" si="4"/>
        <v>2033439.5560942104</v>
      </c>
      <c r="V15" s="483"/>
    </row>
    <row r="16" spans="2:22" ht="13.5" thickBot="1" x14ac:dyDescent="0.35">
      <c r="B16" s="473" t="s">
        <v>379</v>
      </c>
      <c r="C16" s="474">
        <v>1</v>
      </c>
      <c r="D16" s="475">
        <v>821831</v>
      </c>
      <c r="E16" s="475">
        <f t="shared" si="0"/>
        <v>821831</v>
      </c>
      <c r="F16" s="474">
        <v>15</v>
      </c>
      <c r="G16" s="475">
        <f t="shared" si="3"/>
        <v>54788.73333333333</v>
      </c>
      <c r="H16" s="475"/>
      <c r="I16" s="474">
        <v>2035</v>
      </c>
      <c r="J16" s="484" t="b">
        <f t="shared" si="5"/>
        <v>0</v>
      </c>
      <c r="K16" s="484" t="b">
        <f t="shared" si="6"/>
        <v>0</v>
      </c>
      <c r="L16" s="484" t="b">
        <f t="shared" si="7"/>
        <v>0</v>
      </c>
      <c r="M16" s="475">
        <f t="shared" si="1"/>
        <v>0</v>
      </c>
      <c r="N16" s="484" t="b">
        <f t="shared" si="8"/>
        <v>0</v>
      </c>
      <c r="O16" s="484" t="b">
        <f t="shared" si="9"/>
        <v>0</v>
      </c>
      <c r="P16" s="484" t="b">
        <f t="shared" si="10"/>
        <v>0</v>
      </c>
      <c r="Q16" s="475">
        <f t="shared" si="2"/>
        <v>0</v>
      </c>
      <c r="R16" s="484" t="b">
        <f t="shared" si="11"/>
        <v>0</v>
      </c>
      <c r="S16" s="484" t="b">
        <f t="shared" si="12"/>
        <v>0</v>
      </c>
      <c r="T16" s="475">
        <f t="shared" si="13"/>
        <v>0</v>
      </c>
      <c r="U16" s="485">
        <f t="shared" si="4"/>
        <v>0</v>
      </c>
      <c r="V16" s="483"/>
    </row>
    <row r="17" spans="2:22" ht="13.5" thickBot="1" x14ac:dyDescent="0.35">
      <c r="B17" s="473" t="s">
        <v>380</v>
      </c>
      <c r="C17" s="474">
        <v>1</v>
      </c>
      <c r="D17" s="475">
        <v>305927</v>
      </c>
      <c r="E17" s="475">
        <f t="shared" si="0"/>
        <v>305927</v>
      </c>
      <c r="F17" s="474">
        <v>15</v>
      </c>
      <c r="G17" s="475">
        <f t="shared" si="3"/>
        <v>20395.133333333335</v>
      </c>
      <c r="H17" s="475"/>
      <c r="I17" s="474">
        <v>2036</v>
      </c>
      <c r="J17" s="484" t="b">
        <f t="shared" si="5"/>
        <v>0</v>
      </c>
      <c r="K17" s="484" t="b">
        <f t="shared" si="6"/>
        <v>0</v>
      </c>
      <c r="L17" s="484" t="b">
        <f t="shared" si="7"/>
        <v>0</v>
      </c>
      <c r="M17" s="475">
        <f t="shared" si="1"/>
        <v>0</v>
      </c>
      <c r="N17" s="484" t="b">
        <f t="shared" si="8"/>
        <v>0</v>
      </c>
      <c r="O17" s="484" t="b">
        <f t="shared" si="9"/>
        <v>0</v>
      </c>
      <c r="P17" s="484" t="b">
        <f t="shared" si="10"/>
        <v>0</v>
      </c>
      <c r="Q17" s="475">
        <f t="shared" si="2"/>
        <v>0</v>
      </c>
      <c r="R17" s="484" t="b">
        <f t="shared" si="11"/>
        <v>0</v>
      </c>
      <c r="S17" s="484" t="b">
        <f t="shared" si="12"/>
        <v>0</v>
      </c>
      <c r="T17" s="475">
        <f t="shared" si="13"/>
        <v>0</v>
      </c>
      <c r="U17" s="485">
        <f t="shared" si="4"/>
        <v>0</v>
      </c>
      <c r="V17" s="483"/>
    </row>
    <row r="18" spans="2:22" ht="13.5" thickBot="1" x14ac:dyDescent="0.35">
      <c r="B18" s="473" t="s">
        <v>381</v>
      </c>
      <c r="C18" s="474">
        <v>1</v>
      </c>
      <c r="D18" s="475">
        <v>256798</v>
      </c>
      <c r="E18" s="475">
        <f>C18*D18</f>
        <v>256798</v>
      </c>
      <c r="F18" s="474">
        <v>15</v>
      </c>
      <c r="G18" s="475">
        <f t="shared" si="3"/>
        <v>17119.866666666665</v>
      </c>
      <c r="H18" s="475"/>
      <c r="I18" s="474">
        <v>2037</v>
      </c>
      <c r="J18" s="484" t="b">
        <f t="shared" si="5"/>
        <v>0</v>
      </c>
      <c r="K18" s="484" t="b">
        <f t="shared" si="6"/>
        <v>0</v>
      </c>
      <c r="L18" s="484" t="b">
        <f t="shared" si="7"/>
        <v>0</v>
      </c>
      <c r="M18" s="475">
        <f t="shared" si="1"/>
        <v>0</v>
      </c>
      <c r="N18" s="484" t="b">
        <f t="shared" si="8"/>
        <v>0</v>
      </c>
      <c r="O18" s="484" t="b">
        <f t="shared" si="9"/>
        <v>0</v>
      </c>
      <c r="P18" s="484" t="b">
        <f t="shared" si="10"/>
        <v>0</v>
      </c>
      <c r="Q18" s="475">
        <f t="shared" si="2"/>
        <v>0</v>
      </c>
      <c r="R18" s="484" t="b">
        <f t="shared" si="11"/>
        <v>0</v>
      </c>
      <c r="S18" s="484" t="b">
        <f t="shared" si="12"/>
        <v>0</v>
      </c>
      <c r="T18" s="475">
        <f t="shared" si="13"/>
        <v>0</v>
      </c>
      <c r="U18" s="485">
        <f t="shared" si="4"/>
        <v>0</v>
      </c>
      <c r="V18" s="483"/>
    </row>
    <row r="19" spans="2:22" ht="13.5" thickBot="1" x14ac:dyDescent="0.35">
      <c r="B19" s="478" t="s">
        <v>372</v>
      </c>
      <c r="C19" s="479">
        <v>7</v>
      </c>
      <c r="D19" s="480">
        <v>115000</v>
      </c>
      <c r="E19" s="480">
        <f>C19*D19</f>
        <v>805000</v>
      </c>
      <c r="F19" s="479">
        <v>10</v>
      </c>
      <c r="G19" s="475">
        <f t="shared" si="3"/>
        <v>80500</v>
      </c>
      <c r="H19" s="475"/>
      <c r="I19" s="474">
        <v>2038</v>
      </c>
      <c r="J19" s="484" t="b">
        <f t="shared" si="5"/>
        <v>0</v>
      </c>
      <c r="K19" s="484" t="b">
        <f t="shared" si="6"/>
        <v>0</v>
      </c>
      <c r="L19" s="484" t="b">
        <f t="shared" si="7"/>
        <v>0</v>
      </c>
      <c r="M19" s="475">
        <f t="shared" si="1"/>
        <v>0</v>
      </c>
      <c r="N19" s="484" t="b">
        <f t="shared" si="8"/>
        <v>0</v>
      </c>
      <c r="O19" s="484" t="b">
        <f t="shared" si="9"/>
        <v>0</v>
      </c>
      <c r="P19" s="484" t="b">
        <f t="shared" si="10"/>
        <v>0</v>
      </c>
      <c r="Q19" s="475">
        <f t="shared" si="2"/>
        <v>0</v>
      </c>
      <c r="R19" s="484" t="b">
        <f t="shared" si="11"/>
        <v>0</v>
      </c>
      <c r="S19" s="484" t="b">
        <f t="shared" si="12"/>
        <v>0</v>
      </c>
      <c r="T19" s="475">
        <f t="shared" si="13"/>
        <v>0</v>
      </c>
      <c r="U19" s="485">
        <f t="shared" si="4"/>
        <v>0</v>
      </c>
      <c r="V19" s="483"/>
    </row>
    <row r="20" spans="2:22" ht="13.5" thickBot="1" x14ac:dyDescent="0.35">
      <c r="B20" s="478" t="s">
        <v>382</v>
      </c>
      <c r="C20" s="479">
        <v>7</v>
      </c>
      <c r="D20" s="480">
        <v>167000</v>
      </c>
      <c r="E20" s="480">
        <f>C20*D20</f>
        <v>1169000</v>
      </c>
      <c r="F20" s="479">
        <v>15</v>
      </c>
      <c r="G20" s="475">
        <f t="shared" si="3"/>
        <v>77933.333333333328</v>
      </c>
      <c r="H20" s="475"/>
      <c r="I20" s="474">
        <v>2039</v>
      </c>
      <c r="J20" s="484" t="b">
        <f t="shared" si="5"/>
        <v>1</v>
      </c>
      <c r="K20" s="484" t="b">
        <f t="shared" si="6"/>
        <v>0</v>
      </c>
      <c r="L20" s="484" t="b">
        <f t="shared" si="7"/>
        <v>1</v>
      </c>
      <c r="M20" s="475">
        <f t="shared" si="1"/>
        <v>297512.5738089151</v>
      </c>
      <c r="N20" s="484" t="b">
        <f t="shared" si="8"/>
        <v>1</v>
      </c>
      <c r="O20" s="484" t="b">
        <f t="shared" si="9"/>
        <v>0</v>
      </c>
      <c r="P20" s="484" t="b">
        <f t="shared" si="10"/>
        <v>1</v>
      </c>
      <c r="Q20" s="475">
        <f t="shared" si="2"/>
        <v>1291788.6834745235</v>
      </c>
      <c r="R20" s="484" t="b">
        <f t="shared" si="11"/>
        <v>1</v>
      </c>
      <c r="S20" s="484" t="b">
        <f t="shared" si="12"/>
        <v>0</v>
      </c>
      <c r="T20" s="475">
        <f t="shared" si="13"/>
        <v>803957.92598849232</v>
      </c>
      <c r="U20" s="485">
        <f t="shared" si="4"/>
        <v>2095746.6094630158</v>
      </c>
      <c r="V20" s="483"/>
    </row>
    <row r="21" spans="2:22" ht="13.5" thickBot="1" x14ac:dyDescent="0.35">
      <c r="B21" s="478" t="s">
        <v>397</v>
      </c>
      <c r="C21" s="479">
        <v>1</v>
      </c>
      <c r="D21" s="480">
        <v>300000</v>
      </c>
      <c r="E21" s="480">
        <f>C21*D21</f>
        <v>300000</v>
      </c>
      <c r="F21" s="479">
        <v>15</v>
      </c>
      <c r="G21" s="475">
        <f t="shared" si="3"/>
        <v>20000</v>
      </c>
      <c r="H21" s="475"/>
      <c r="I21" s="474">
        <v>2040</v>
      </c>
      <c r="J21" s="484" t="b">
        <f t="shared" si="5"/>
        <v>0</v>
      </c>
      <c r="K21" s="484" t="b">
        <f t="shared" si="6"/>
        <v>0</v>
      </c>
      <c r="L21" s="484" t="b">
        <f t="shared" si="7"/>
        <v>0</v>
      </c>
      <c r="M21" s="475">
        <f t="shared" si="1"/>
        <v>0</v>
      </c>
      <c r="N21" s="484" t="b">
        <f t="shared" si="8"/>
        <v>0</v>
      </c>
      <c r="O21" s="484" t="b">
        <f t="shared" si="9"/>
        <v>0</v>
      </c>
      <c r="P21" s="484" t="b">
        <f t="shared" si="10"/>
        <v>0</v>
      </c>
      <c r="Q21" s="475">
        <f t="shared" si="2"/>
        <v>0</v>
      </c>
      <c r="R21" s="484" t="b">
        <f t="shared" si="11"/>
        <v>0</v>
      </c>
      <c r="S21" s="484" t="b">
        <f t="shared" si="12"/>
        <v>0</v>
      </c>
      <c r="T21" s="475">
        <f t="shared" si="13"/>
        <v>0</v>
      </c>
      <c r="U21" s="485">
        <f t="shared" si="4"/>
        <v>0</v>
      </c>
      <c r="V21" s="483"/>
    </row>
    <row r="22" spans="2:22" ht="13.5" thickBot="1" x14ac:dyDescent="0.35">
      <c r="I22" s="474">
        <v>2041</v>
      </c>
      <c r="J22" s="484" t="b">
        <f t="shared" si="5"/>
        <v>0</v>
      </c>
      <c r="K22" s="484" t="b">
        <f t="shared" si="6"/>
        <v>0</v>
      </c>
      <c r="L22" s="484" t="b">
        <f t="shared" si="7"/>
        <v>0</v>
      </c>
      <c r="M22" s="475">
        <f t="shared" si="1"/>
        <v>0</v>
      </c>
      <c r="N22" s="484" t="b">
        <f t="shared" si="8"/>
        <v>0</v>
      </c>
      <c r="O22" s="484" t="b">
        <f t="shared" si="9"/>
        <v>0</v>
      </c>
      <c r="P22" s="484" t="b">
        <f t="shared" si="10"/>
        <v>0</v>
      </c>
      <c r="Q22" s="475">
        <f t="shared" si="2"/>
        <v>0</v>
      </c>
      <c r="R22" s="484" t="b">
        <f t="shared" si="11"/>
        <v>0</v>
      </c>
      <c r="S22" s="484" t="b">
        <f t="shared" si="12"/>
        <v>0</v>
      </c>
      <c r="T22" s="475">
        <f t="shared" si="13"/>
        <v>0</v>
      </c>
      <c r="U22" s="485">
        <f t="shared" si="4"/>
        <v>0</v>
      </c>
      <c r="V22" s="483"/>
    </row>
    <row r="23" spans="2:22" ht="13.5" thickBot="1" x14ac:dyDescent="0.35">
      <c r="B23" s="482" t="s">
        <v>383</v>
      </c>
      <c r="I23" s="474">
        <v>2042</v>
      </c>
      <c r="J23" s="484" t="b">
        <f t="shared" si="5"/>
        <v>0</v>
      </c>
      <c r="K23" s="484" t="b">
        <f t="shared" si="6"/>
        <v>0</v>
      </c>
      <c r="L23" s="484" t="b">
        <f t="shared" si="7"/>
        <v>0</v>
      </c>
      <c r="M23" s="475">
        <f t="shared" si="1"/>
        <v>0</v>
      </c>
      <c r="N23" s="484" t="b">
        <f t="shared" si="8"/>
        <v>0</v>
      </c>
      <c r="O23" s="484" t="b">
        <f t="shared" si="9"/>
        <v>0</v>
      </c>
      <c r="P23" s="484" t="b">
        <f t="shared" si="10"/>
        <v>0</v>
      </c>
      <c r="Q23" s="475">
        <f t="shared" si="2"/>
        <v>0</v>
      </c>
      <c r="R23" s="484" t="b">
        <f t="shared" si="11"/>
        <v>0</v>
      </c>
      <c r="S23" s="484" t="b">
        <f t="shared" si="12"/>
        <v>0</v>
      </c>
      <c r="T23" s="475">
        <f t="shared" si="13"/>
        <v>0</v>
      </c>
      <c r="U23" s="485">
        <f t="shared" si="4"/>
        <v>0</v>
      </c>
      <c r="V23" s="483"/>
    </row>
    <row r="24" spans="2:22" ht="13.5" thickBot="1" x14ac:dyDescent="0.35">
      <c r="I24" s="474">
        <v>2043</v>
      </c>
      <c r="J24" s="484" t="b">
        <f t="shared" si="5"/>
        <v>0</v>
      </c>
      <c r="K24" s="484" t="b">
        <f t="shared" si="6"/>
        <v>0</v>
      </c>
      <c r="L24" s="484" t="b">
        <f t="shared" si="7"/>
        <v>0</v>
      </c>
      <c r="M24" s="475">
        <f t="shared" si="1"/>
        <v>0</v>
      </c>
      <c r="N24" s="484" t="b">
        <f t="shared" si="8"/>
        <v>0</v>
      </c>
      <c r="O24" s="484" t="b">
        <f t="shared" si="9"/>
        <v>0</v>
      </c>
      <c r="P24" s="484" t="b">
        <f t="shared" si="10"/>
        <v>0</v>
      </c>
      <c r="Q24" s="475">
        <f t="shared" si="2"/>
        <v>0</v>
      </c>
      <c r="R24" s="484" t="b">
        <f t="shared" si="11"/>
        <v>0</v>
      </c>
      <c r="S24" s="484" t="b">
        <f t="shared" si="12"/>
        <v>0</v>
      </c>
      <c r="T24" s="475">
        <f t="shared" si="13"/>
        <v>0</v>
      </c>
      <c r="U24" s="485">
        <f t="shared" si="4"/>
        <v>0</v>
      </c>
      <c r="V24" s="483"/>
    </row>
    <row r="25" spans="2:22" ht="13.5" thickBot="1" x14ac:dyDescent="0.35">
      <c r="B25" s="476" t="s">
        <v>299</v>
      </c>
      <c r="C25" s="476" t="s">
        <v>389</v>
      </c>
      <c r="D25" s="476" t="s">
        <v>390</v>
      </c>
      <c r="I25" s="474">
        <v>2044</v>
      </c>
      <c r="J25" s="484" t="b">
        <f t="shared" si="5"/>
        <v>1</v>
      </c>
      <c r="K25" s="484" t="b">
        <f t="shared" si="6"/>
        <v>1</v>
      </c>
      <c r="L25" s="484" t="b">
        <f t="shared" si="7"/>
        <v>0</v>
      </c>
      <c r="M25" s="475">
        <f t="shared" si="1"/>
        <v>5935137.7501245532</v>
      </c>
      <c r="N25" s="484" t="b">
        <f t="shared" si="8"/>
        <v>1</v>
      </c>
      <c r="O25" s="484" t="b">
        <f t="shared" si="9"/>
        <v>1</v>
      </c>
      <c r="P25" s="484" t="b">
        <f t="shared" si="10"/>
        <v>0</v>
      </c>
      <c r="Q25" s="475">
        <f t="shared" si="2"/>
        <v>2732772.7258412489</v>
      </c>
      <c r="R25" s="484" t="b">
        <f t="shared" si="11"/>
        <v>0</v>
      </c>
      <c r="S25" s="484" t="b">
        <f t="shared" si="12"/>
        <v>1</v>
      </c>
      <c r="T25" s="475">
        <f t="shared" si="13"/>
        <v>1084551.7353066357</v>
      </c>
      <c r="U25" s="485">
        <f t="shared" si="4"/>
        <v>3817324.4611478848</v>
      </c>
      <c r="V25" s="483"/>
    </row>
    <row r="26" spans="2:22" ht="13.5" thickBot="1" x14ac:dyDescent="0.35">
      <c r="B26" s="473" t="s">
        <v>386</v>
      </c>
      <c r="C26" s="475">
        <f>SUMIF($F$4:$F$18,(D26),$E$4:$E$18)</f>
        <v>5400</v>
      </c>
      <c r="D26" s="474">
        <v>5</v>
      </c>
      <c r="I26" s="474">
        <v>2045</v>
      </c>
      <c r="J26" s="484" t="b">
        <f t="shared" si="5"/>
        <v>0</v>
      </c>
      <c r="K26" s="484" t="b">
        <f t="shared" si="6"/>
        <v>0</v>
      </c>
      <c r="L26" s="484" t="b">
        <f t="shared" si="7"/>
        <v>0</v>
      </c>
      <c r="M26" s="475">
        <f t="shared" si="1"/>
        <v>0</v>
      </c>
      <c r="N26" s="484" t="b">
        <f t="shared" si="8"/>
        <v>0</v>
      </c>
      <c r="O26" s="484" t="b">
        <f t="shared" si="9"/>
        <v>0</v>
      </c>
      <c r="P26" s="484" t="b">
        <f t="shared" si="10"/>
        <v>0</v>
      </c>
      <c r="Q26" s="475">
        <f t="shared" si="2"/>
        <v>0</v>
      </c>
      <c r="R26" s="484" t="b">
        <f t="shared" si="11"/>
        <v>0</v>
      </c>
      <c r="S26" s="484" t="b">
        <f t="shared" si="12"/>
        <v>0</v>
      </c>
      <c r="T26" s="475">
        <f t="shared" si="13"/>
        <v>0</v>
      </c>
      <c r="U26" s="485">
        <f t="shared" si="4"/>
        <v>0</v>
      </c>
      <c r="V26" s="483"/>
    </row>
    <row r="27" spans="2:22" ht="13.5" thickBot="1" x14ac:dyDescent="0.35">
      <c r="B27" s="473" t="s">
        <v>387</v>
      </c>
      <c r="C27" s="475">
        <f>SUMIF($F$4:$F$18,(D27),$E$4:$E$18)</f>
        <v>180000</v>
      </c>
      <c r="D27" s="474">
        <v>10</v>
      </c>
      <c r="I27" s="474">
        <v>2046</v>
      </c>
      <c r="J27" s="484" t="b">
        <f t="shared" si="5"/>
        <v>0</v>
      </c>
      <c r="K27" s="484" t="b">
        <f t="shared" si="6"/>
        <v>0</v>
      </c>
      <c r="L27" s="484" t="b">
        <f t="shared" si="7"/>
        <v>0</v>
      </c>
      <c r="M27" s="475">
        <f t="shared" si="1"/>
        <v>0</v>
      </c>
      <c r="N27" s="484" t="b">
        <f t="shared" si="8"/>
        <v>0</v>
      </c>
      <c r="O27" s="484" t="b">
        <f t="shared" si="9"/>
        <v>0</v>
      </c>
      <c r="P27" s="484" t="b">
        <f t="shared" si="10"/>
        <v>0</v>
      </c>
      <c r="Q27" s="475">
        <f t="shared" si="2"/>
        <v>0</v>
      </c>
      <c r="R27" s="484" t="b">
        <f t="shared" si="11"/>
        <v>0</v>
      </c>
      <c r="S27" s="484" t="b">
        <f t="shared" si="12"/>
        <v>0</v>
      </c>
      <c r="T27" s="475">
        <f t="shared" si="13"/>
        <v>0</v>
      </c>
      <c r="U27" s="485">
        <f t="shared" si="4"/>
        <v>0</v>
      </c>
      <c r="V27" s="483"/>
    </row>
    <row r="28" spans="2:22" ht="13.5" thickBot="1" x14ac:dyDescent="0.35">
      <c r="B28" s="473" t="s">
        <v>388</v>
      </c>
      <c r="C28" s="475">
        <f>SUMIF($F$4:$F$18,(D28),$E$4:$E$18)</f>
        <v>3185029</v>
      </c>
      <c r="D28" s="474">
        <v>15</v>
      </c>
      <c r="I28" s="474">
        <v>2047</v>
      </c>
      <c r="J28" s="484" t="b">
        <f t="shared" si="5"/>
        <v>0</v>
      </c>
      <c r="K28" s="484" t="b">
        <f t="shared" si="6"/>
        <v>0</v>
      </c>
      <c r="L28" s="484" t="b">
        <f t="shared" si="7"/>
        <v>0</v>
      </c>
      <c r="M28" s="475">
        <f t="shared" si="1"/>
        <v>0</v>
      </c>
      <c r="N28" s="484" t="b">
        <f t="shared" si="8"/>
        <v>0</v>
      </c>
      <c r="O28" s="484" t="b">
        <f t="shared" si="9"/>
        <v>0</v>
      </c>
      <c r="P28" s="484" t="b">
        <f t="shared" si="10"/>
        <v>0</v>
      </c>
      <c r="Q28" s="475">
        <f t="shared" si="2"/>
        <v>0</v>
      </c>
      <c r="R28" s="484" t="b">
        <f t="shared" si="11"/>
        <v>0</v>
      </c>
      <c r="S28" s="484" t="b">
        <f t="shared" si="12"/>
        <v>0</v>
      </c>
      <c r="T28" s="475">
        <f t="shared" si="13"/>
        <v>0</v>
      </c>
      <c r="U28" s="485">
        <f t="shared" si="4"/>
        <v>0</v>
      </c>
      <c r="V28" s="483"/>
    </row>
    <row r="29" spans="2:22" ht="13.5" thickBot="1" x14ac:dyDescent="0.35">
      <c r="I29" s="474">
        <v>2048</v>
      </c>
      <c r="J29" s="484" t="b">
        <f t="shared" si="5"/>
        <v>0</v>
      </c>
      <c r="K29" s="484" t="b">
        <f t="shared" si="6"/>
        <v>0</v>
      </c>
      <c r="L29" s="484" t="b">
        <f t="shared" si="7"/>
        <v>0</v>
      </c>
      <c r="M29" s="475">
        <f t="shared" si="1"/>
        <v>0</v>
      </c>
      <c r="N29" s="484" t="b">
        <f t="shared" si="8"/>
        <v>0</v>
      </c>
      <c r="O29" s="484" t="b">
        <f t="shared" si="9"/>
        <v>0</v>
      </c>
      <c r="P29" s="484" t="b">
        <f t="shared" si="10"/>
        <v>0</v>
      </c>
      <c r="Q29" s="475">
        <f t="shared" si="2"/>
        <v>0</v>
      </c>
      <c r="R29" s="484" t="b">
        <f t="shared" si="11"/>
        <v>0</v>
      </c>
      <c r="S29" s="484" t="b">
        <f t="shared" si="12"/>
        <v>0</v>
      </c>
      <c r="T29" s="475">
        <f t="shared" si="13"/>
        <v>0</v>
      </c>
      <c r="U29" s="485">
        <f t="shared" si="4"/>
        <v>0</v>
      </c>
      <c r="V29" s="483"/>
    </row>
    <row r="30" spans="2:22" ht="13.5" thickBot="1" x14ac:dyDescent="0.35">
      <c r="B30" s="476" t="s">
        <v>300</v>
      </c>
      <c r="C30" s="476" t="s">
        <v>389</v>
      </c>
      <c r="D30" s="476" t="s">
        <v>390</v>
      </c>
      <c r="I30" s="474">
        <v>2049</v>
      </c>
      <c r="J30" s="484" t="b">
        <f t="shared" si="5"/>
        <v>1</v>
      </c>
      <c r="K30" s="484" t="b">
        <f t="shared" si="6"/>
        <v>0</v>
      </c>
      <c r="L30" s="484" t="b">
        <f t="shared" si="7"/>
        <v>0</v>
      </c>
      <c r="M30" s="475">
        <f t="shared" si="1"/>
        <v>11645.592844736739</v>
      </c>
      <c r="N30" s="484" t="b">
        <f t="shared" si="8"/>
        <v>1</v>
      </c>
      <c r="O30" s="484" t="b">
        <f t="shared" si="9"/>
        <v>0</v>
      </c>
      <c r="P30" s="484" t="b">
        <f t="shared" si="10"/>
        <v>0</v>
      </c>
      <c r="Q30" s="475">
        <f t="shared" si="2"/>
        <v>0</v>
      </c>
      <c r="R30" s="484" t="b">
        <f t="shared" si="11"/>
        <v>1</v>
      </c>
      <c r="S30" s="484" t="b">
        <f t="shared" si="12"/>
        <v>0</v>
      </c>
      <c r="T30" s="475">
        <f t="shared" si="13"/>
        <v>1080452.2250394642</v>
      </c>
      <c r="U30" s="485">
        <f t="shared" si="4"/>
        <v>1080452.2250394642</v>
      </c>
      <c r="V30" s="483"/>
    </row>
    <row r="31" spans="2:22" ht="13.5" thickBot="1" x14ac:dyDescent="0.35">
      <c r="B31" s="473" t="s">
        <v>386</v>
      </c>
      <c r="C31" s="475">
        <f>SUMIF($F$19:$F$21,(D31),$E$19:$E$21)</f>
        <v>0</v>
      </c>
      <c r="D31" s="474">
        <v>5</v>
      </c>
      <c r="I31" s="474">
        <v>2050</v>
      </c>
      <c r="J31" s="484" t="b">
        <f t="shared" si="5"/>
        <v>0</v>
      </c>
      <c r="K31" s="484" t="b">
        <f t="shared" si="6"/>
        <v>0</v>
      </c>
      <c r="L31" s="484" t="b">
        <f t="shared" si="7"/>
        <v>0</v>
      </c>
      <c r="M31" s="475">
        <f t="shared" si="1"/>
        <v>0</v>
      </c>
      <c r="N31" s="484" t="b">
        <f t="shared" si="8"/>
        <v>0</v>
      </c>
      <c r="O31" s="484" t="b">
        <f t="shared" si="9"/>
        <v>0</v>
      </c>
      <c r="P31" s="484" t="b">
        <f t="shared" si="10"/>
        <v>0</v>
      </c>
      <c r="Q31" s="475">
        <f t="shared" si="2"/>
        <v>0</v>
      </c>
      <c r="R31" s="484" t="b">
        <f t="shared" si="11"/>
        <v>0</v>
      </c>
      <c r="S31" s="484" t="b">
        <f t="shared" si="12"/>
        <v>0</v>
      </c>
      <c r="T31" s="475">
        <f t="shared" si="13"/>
        <v>0</v>
      </c>
      <c r="U31" s="485">
        <f t="shared" si="4"/>
        <v>0</v>
      </c>
      <c r="V31" s="483"/>
    </row>
    <row r="32" spans="2:22" ht="13.5" thickBot="1" x14ac:dyDescent="0.35">
      <c r="B32" s="473" t="s">
        <v>387</v>
      </c>
      <c r="C32" s="475">
        <f>SUMIF($F$19:$F$21,(D32),$E$19:$E$21)</f>
        <v>805000</v>
      </c>
      <c r="D32" s="474">
        <v>10</v>
      </c>
      <c r="I32" s="474">
        <v>2051</v>
      </c>
      <c r="J32" s="484" t="b">
        <f t="shared" si="5"/>
        <v>0</v>
      </c>
      <c r="K32" s="484" t="b">
        <f t="shared" si="6"/>
        <v>0</v>
      </c>
      <c r="L32" s="484" t="b">
        <f t="shared" si="7"/>
        <v>0</v>
      </c>
      <c r="M32" s="475">
        <f t="shared" si="1"/>
        <v>0</v>
      </c>
      <c r="N32" s="484" t="b">
        <f t="shared" si="8"/>
        <v>0</v>
      </c>
      <c r="O32" s="484" t="b">
        <f t="shared" si="9"/>
        <v>0</v>
      </c>
      <c r="P32" s="484" t="b">
        <f t="shared" si="10"/>
        <v>0</v>
      </c>
      <c r="Q32" s="475">
        <f t="shared" si="2"/>
        <v>0</v>
      </c>
      <c r="R32" s="484" t="b">
        <f t="shared" si="11"/>
        <v>0</v>
      </c>
      <c r="S32" s="484" t="b">
        <f t="shared" si="12"/>
        <v>0</v>
      </c>
      <c r="T32" s="475">
        <f t="shared" si="13"/>
        <v>0</v>
      </c>
      <c r="U32" s="485">
        <f t="shared" si="4"/>
        <v>0</v>
      </c>
      <c r="V32" s="483"/>
    </row>
    <row r="33" spans="2:22" ht="13.5" thickBot="1" x14ac:dyDescent="0.35">
      <c r="B33" s="473" t="s">
        <v>388</v>
      </c>
      <c r="C33" s="475">
        <f>SUMIF($F$19:$F$21,(D33),$E$19:$E$21)</f>
        <v>1469000</v>
      </c>
      <c r="D33" s="474">
        <v>15</v>
      </c>
      <c r="I33" s="474">
        <v>2052</v>
      </c>
      <c r="J33" s="484" t="b">
        <f t="shared" si="5"/>
        <v>0</v>
      </c>
      <c r="K33" s="484" t="b">
        <f t="shared" si="6"/>
        <v>0</v>
      </c>
      <c r="L33" s="484" t="b">
        <f t="shared" si="7"/>
        <v>0</v>
      </c>
      <c r="M33" s="475">
        <f t="shared" si="1"/>
        <v>0</v>
      </c>
      <c r="N33" s="484" t="b">
        <f t="shared" si="8"/>
        <v>0</v>
      </c>
      <c r="O33" s="484" t="b">
        <f t="shared" si="9"/>
        <v>0</v>
      </c>
      <c r="P33" s="484" t="b">
        <f t="shared" si="10"/>
        <v>0</v>
      </c>
      <c r="Q33" s="475">
        <f t="shared" si="2"/>
        <v>0</v>
      </c>
      <c r="R33" s="484" t="b">
        <f t="shared" si="11"/>
        <v>0</v>
      </c>
      <c r="S33" s="484" t="b">
        <f t="shared" si="12"/>
        <v>0</v>
      </c>
      <c r="T33" s="475">
        <f t="shared" si="13"/>
        <v>0</v>
      </c>
      <c r="U33" s="485">
        <f t="shared" si="4"/>
        <v>0</v>
      </c>
      <c r="V33" s="483"/>
    </row>
    <row r="34" spans="2:22" ht="13.5" thickBot="1" x14ac:dyDescent="0.35">
      <c r="I34" s="474">
        <v>2053</v>
      </c>
      <c r="J34" s="484" t="b">
        <f t="shared" si="5"/>
        <v>0</v>
      </c>
      <c r="K34" s="484" t="b">
        <f t="shared" si="6"/>
        <v>0</v>
      </c>
      <c r="L34" s="484" t="b">
        <f t="shared" si="7"/>
        <v>0</v>
      </c>
      <c r="M34" s="475">
        <f t="shared" si="1"/>
        <v>0</v>
      </c>
      <c r="N34" s="484" t="b">
        <f t="shared" si="8"/>
        <v>0</v>
      </c>
      <c r="O34" s="484" t="b">
        <f t="shared" si="9"/>
        <v>0</v>
      </c>
      <c r="P34" s="484" t="b">
        <f t="shared" si="10"/>
        <v>0</v>
      </c>
      <c r="Q34" s="475">
        <f t="shared" si="2"/>
        <v>0</v>
      </c>
      <c r="R34" s="484" t="b">
        <f t="shared" si="11"/>
        <v>0</v>
      </c>
      <c r="S34" s="484" t="b">
        <f t="shared" si="12"/>
        <v>0</v>
      </c>
      <c r="T34" s="475">
        <f t="shared" si="13"/>
        <v>0</v>
      </c>
      <c r="U34" s="485">
        <f t="shared" si="4"/>
        <v>0</v>
      </c>
      <c r="V34" s="483"/>
    </row>
    <row r="35" spans="2:22" ht="13.5" thickBot="1" x14ac:dyDescent="0.35">
      <c r="B35" s="508" t="s">
        <v>441</v>
      </c>
      <c r="I35" s="474">
        <v>2054</v>
      </c>
      <c r="J35" s="484" t="b">
        <f t="shared" si="5"/>
        <v>1</v>
      </c>
      <c r="K35" s="484" t="b">
        <f t="shared" si="6"/>
        <v>1</v>
      </c>
      <c r="L35" s="484" t="b">
        <f t="shared" si="7"/>
        <v>1</v>
      </c>
      <c r="M35" s="475">
        <f t="shared" si="1"/>
        <v>8426343.2982145716</v>
      </c>
      <c r="N35" s="484" t="b">
        <f t="shared" si="8"/>
        <v>1</v>
      </c>
      <c r="O35" s="484" t="b">
        <f t="shared" si="9"/>
        <v>1</v>
      </c>
      <c r="P35" s="484" t="b">
        <f t="shared" si="10"/>
        <v>1</v>
      </c>
      <c r="Q35" s="475">
        <f t="shared" si="2"/>
        <v>5685182.7052698443</v>
      </c>
      <c r="R35" s="484" t="b">
        <f t="shared" si="11"/>
        <v>0</v>
      </c>
      <c r="S35" s="484" t="b">
        <f t="shared" si="12"/>
        <v>0</v>
      </c>
      <c r="T35" s="475">
        <f t="shared" si="13"/>
        <v>0</v>
      </c>
      <c r="U35" s="485">
        <f t="shared" si="4"/>
        <v>5685182.7052698443</v>
      </c>
      <c r="V35" s="483"/>
    </row>
    <row r="36" spans="2:22" ht="13.5" thickBot="1" x14ac:dyDescent="0.35">
      <c r="B36" s="476" t="s">
        <v>363</v>
      </c>
      <c r="C36" s="477" t="s">
        <v>124</v>
      </c>
      <c r="D36" s="477" t="s">
        <v>442</v>
      </c>
      <c r="E36" s="477" t="s">
        <v>389</v>
      </c>
      <c r="F36" s="477" t="s">
        <v>506</v>
      </c>
      <c r="I36" s="474">
        <v>2055</v>
      </c>
      <c r="J36" s="484" t="b">
        <f t="shared" si="5"/>
        <v>0</v>
      </c>
      <c r="K36" s="484" t="b">
        <f t="shared" si="6"/>
        <v>0</v>
      </c>
      <c r="L36" s="484" t="b">
        <f t="shared" si="7"/>
        <v>0</v>
      </c>
      <c r="M36" s="475">
        <f t="shared" si="1"/>
        <v>0</v>
      </c>
      <c r="N36" s="484" t="b">
        <f t="shared" si="8"/>
        <v>0</v>
      </c>
      <c r="O36" s="484" t="b">
        <f t="shared" si="9"/>
        <v>0</v>
      </c>
      <c r="P36" s="484" t="b">
        <f t="shared" si="10"/>
        <v>0</v>
      </c>
      <c r="Q36" s="475">
        <f t="shared" si="2"/>
        <v>0</v>
      </c>
      <c r="R36" s="484" t="b">
        <f t="shared" si="11"/>
        <v>0</v>
      </c>
      <c r="S36" s="484" t="b">
        <f t="shared" si="12"/>
        <v>0</v>
      </c>
      <c r="T36" s="475">
        <f t="shared" si="13"/>
        <v>0</v>
      </c>
      <c r="U36" s="485">
        <f t="shared" si="4"/>
        <v>0</v>
      </c>
      <c r="V36" s="483"/>
    </row>
    <row r="37" spans="2:22" ht="13.5" thickBot="1" x14ac:dyDescent="0.35">
      <c r="B37" s="473" t="str">
        <f>'Updated Equipment Summary'!E10</f>
        <v>Truck (Kenworth)</v>
      </c>
      <c r="C37" s="474">
        <v>1</v>
      </c>
      <c r="D37" s="475">
        <f>'Updated Equipment Summary'!F10</f>
        <v>140000</v>
      </c>
      <c r="E37" s="475">
        <f>D20</f>
        <v>167000</v>
      </c>
      <c r="F37" s="474">
        <v>5</v>
      </c>
      <c r="G37" s="475">
        <f>+E37/F37</f>
        <v>33400</v>
      </c>
      <c r="H37" s="475"/>
      <c r="I37" s="474">
        <v>2056</v>
      </c>
      <c r="J37" s="484" t="b">
        <f t="shared" si="5"/>
        <v>0</v>
      </c>
      <c r="K37" s="484" t="b">
        <f t="shared" si="6"/>
        <v>0</v>
      </c>
      <c r="L37" s="484" t="b">
        <f t="shared" si="7"/>
        <v>0</v>
      </c>
      <c r="M37" s="475">
        <f t="shared" si="1"/>
        <v>0</v>
      </c>
      <c r="N37" s="484" t="b">
        <f t="shared" si="8"/>
        <v>0</v>
      </c>
      <c r="O37" s="484" t="b">
        <f t="shared" si="9"/>
        <v>0</v>
      </c>
      <c r="P37" s="484" t="b">
        <f t="shared" si="10"/>
        <v>0</v>
      </c>
      <c r="Q37" s="475">
        <f t="shared" si="2"/>
        <v>0</v>
      </c>
      <c r="R37" s="484" t="b">
        <f t="shared" si="11"/>
        <v>0</v>
      </c>
      <c r="S37" s="484" t="b">
        <f t="shared" si="12"/>
        <v>0</v>
      </c>
      <c r="T37" s="475">
        <f t="shared" si="13"/>
        <v>0</v>
      </c>
      <c r="U37" s="485">
        <f t="shared" si="4"/>
        <v>0</v>
      </c>
      <c r="V37" s="483"/>
    </row>
    <row r="38" spans="2:22" ht="13.5" thickBot="1" x14ac:dyDescent="0.35">
      <c r="B38" s="473" t="str">
        <f>'Updated Equipment Summary'!E11</f>
        <v>Truck (Peterbuilt)</v>
      </c>
      <c r="C38" s="474">
        <v>1</v>
      </c>
      <c r="D38" s="475">
        <f>'Updated Equipment Summary'!F11</f>
        <v>50000</v>
      </c>
      <c r="E38" s="475">
        <f>D20</f>
        <v>167000</v>
      </c>
      <c r="F38" s="474">
        <v>5</v>
      </c>
      <c r="G38" s="475">
        <f>+E38/F38</f>
        <v>33400</v>
      </c>
      <c r="H38" s="475"/>
      <c r="I38" s="474">
        <v>2057</v>
      </c>
      <c r="J38" s="484" t="b">
        <f t="shared" si="5"/>
        <v>0</v>
      </c>
      <c r="K38" s="484" t="b">
        <f t="shared" si="6"/>
        <v>0</v>
      </c>
      <c r="L38" s="484" t="b">
        <f t="shared" si="7"/>
        <v>0</v>
      </c>
      <c r="M38" s="475">
        <f t="shared" si="1"/>
        <v>0</v>
      </c>
      <c r="N38" s="484" t="b">
        <f t="shared" si="8"/>
        <v>0</v>
      </c>
      <c r="O38" s="484" t="b">
        <f t="shared" si="9"/>
        <v>0</v>
      </c>
      <c r="P38" s="484" t="b">
        <f t="shared" si="10"/>
        <v>0</v>
      </c>
      <c r="Q38" s="475">
        <f t="shared" si="2"/>
        <v>0</v>
      </c>
      <c r="R38" s="484" t="b">
        <f t="shared" si="11"/>
        <v>0</v>
      </c>
      <c r="S38" s="484" t="b">
        <f t="shared" si="12"/>
        <v>0</v>
      </c>
      <c r="T38" s="475">
        <f t="shared" si="13"/>
        <v>0</v>
      </c>
      <c r="U38" s="485">
        <f t="shared" si="4"/>
        <v>0</v>
      </c>
      <c r="V38" s="483"/>
    </row>
    <row r="39" spans="2:22" ht="13.5" thickBot="1" x14ac:dyDescent="0.35">
      <c r="B39" s="473" t="str">
        <f>'Updated Equipment Summary'!E12</f>
        <v>Truck (Mack)</v>
      </c>
      <c r="C39" s="474">
        <v>1</v>
      </c>
      <c r="D39" s="475">
        <f>'Updated Equipment Summary'!F12</f>
        <v>40000</v>
      </c>
      <c r="E39" s="475">
        <f>D20</f>
        <v>167000</v>
      </c>
      <c r="F39" s="474">
        <v>5</v>
      </c>
      <c r="G39" s="475">
        <f>+E39/F39</f>
        <v>33400</v>
      </c>
      <c r="H39" s="475"/>
      <c r="I39" s="474">
        <v>2058</v>
      </c>
      <c r="J39" s="484" t="b">
        <f t="shared" si="5"/>
        <v>0</v>
      </c>
      <c r="K39" s="484" t="b">
        <f t="shared" si="6"/>
        <v>0</v>
      </c>
      <c r="L39" s="484" t="b">
        <f t="shared" si="7"/>
        <v>0</v>
      </c>
      <c r="M39" s="475">
        <f t="shared" si="1"/>
        <v>0</v>
      </c>
      <c r="N39" s="484" t="b">
        <f t="shared" si="8"/>
        <v>0</v>
      </c>
      <c r="O39" s="484" t="b">
        <f t="shared" si="9"/>
        <v>0</v>
      </c>
      <c r="P39" s="484" t="b">
        <f t="shared" si="10"/>
        <v>0</v>
      </c>
      <c r="Q39" s="475">
        <f t="shared" si="2"/>
        <v>0</v>
      </c>
      <c r="R39" s="484" t="b">
        <f t="shared" si="11"/>
        <v>0</v>
      </c>
      <c r="S39" s="484" t="b">
        <f t="shared" si="12"/>
        <v>0</v>
      </c>
      <c r="T39" s="475">
        <f t="shared" si="13"/>
        <v>0</v>
      </c>
      <c r="U39" s="485">
        <f t="shared" si="4"/>
        <v>0</v>
      </c>
      <c r="V39" s="483"/>
    </row>
    <row r="40" spans="2:22" ht="13.5" thickBot="1" x14ac:dyDescent="0.35">
      <c r="B40" s="473" t="str">
        <f>'Updated Equipment Summary'!E13</f>
        <v>4 Trailer (IMCO - Fremont)</v>
      </c>
      <c r="C40" s="474">
        <v>4</v>
      </c>
      <c r="D40" s="475">
        <f>'Updated Equipment Summary'!F13</f>
        <v>204000</v>
      </c>
      <c r="E40" s="475">
        <f>D19</f>
        <v>115000</v>
      </c>
      <c r="F40" s="474">
        <v>5</v>
      </c>
      <c r="G40" s="475">
        <f>+E40/F40</f>
        <v>23000</v>
      </c>
      <c r="H40" s="475"/>
      <c r="I40" s="474">
        <v>2059</v>
      </c>
      <c r="J40" s="484" t="b">
        <f t="shared" si="5"/>
        <v>1</v>
      </c>
      <c r="K40" s="484" t="b">
        <f t="shared" si="6"/>
        <v>0</v>
      </c>
      <c r="L40" s="484" t="b">
        <f t="shared" si="7"/>
        <v>0</v>
      </c>
      <c r="M40" s="475">
        <f t="shared" si="1"/>
        <v>15650.702971214407</v>
      </c>
      <c r="N40" s="484" t="b">
        <f t="shared" si="8"/>
        <v>1</v>
      </c>
      <c r="O40" s="484" t="b">
        <f t="shared" si="9"/>
        <v>0</v>
      </c>
      <c r="P40" s="484" t="b">
        <f t="shared" si="10"/>
        <v>0</v>
      </c>
      <c r="Q40" s="475">
        <f t="shared" si="2"/>
        <v>0</v>
      </c>
      <c r="R40" s="484" t="b">
        <f t="shared" si="11"/>
        <v>1</v>
      </c>
      <c r="S40" s="484" t="b">
        <f t="shared" si="12"/>
        <v>1</v>
      </c>
      <c r="T40" s="475">
        <f t="shared" si="13"/>
        <v>3141733.7075548922</v>
      </c>
      <c r="U40" s="485">
        <f t="shared" si="4"/>
        <v>3141733.7075548922</v>
      </c>
      <c r="V40" s="483"/>
    </row>
    <row r="41" spans="2:22" ht="13.5" thickBot="1" x14ac:dyDescent="0.35">
      <c r="B41" s="473" t="str">
        <f>'Updated Equipment Summary'!E14</f>
        <v>Trailer (East - Madison)</v>
      </c>
      <c r="C41" s="474">
        <v>1</v>
      </c>
      <c r="D41" s="475">
        <f>'Updated Equipment Summary'!F14</f>
        <v>85000</v>
      </c>
      <c r="E41" s="475">
        <f>D19</f>
        <v>115000</v>
      </c>
      <c r="F41" s="474">
        <v>5</v>
      </c>
      <c r="G41" s="475">
        <f>+E41/F41</f>
        <v>23000</v>
      </c>
      <c r="H41" s="475"/>
      <c r="I41" s="474">
        <v>2060</v>
      </c>
      <c r="J41" s="484" t="b">
        <f t="shared" si="5"/>
        <v>0</v>
      </c>
      <c r="K41" s="484" t="b">
        <f t="shared" si="6"/>
        <v>0</v>
      </c>
      <c r="L41" s="484" t="b">
        <f t="shared" si="7"/>
        <v>0</v>
      </c>
      <c r="M41" s="475">
        <f t="shared" si="1"/>
        <v>0</v>
      </c>
      <c r="N41" s="484" t="b">
        <f t="shared" si="8"/>
        <v>0</v>
      </c>
      <c r="O41" s="484" t="b">
        <f t="shared" si="9"/>
        <v>0</v>
      </c>
      <c r="P41" s="484" t="b">
        <f t="shared" si="10"/>
        <v>0</v>
      </c>
      <c r="Q41" s="475">
        <f t="shared" si="2"/>
        <v>0</v>
      </c>
      <c r="R41" s="484" t="b">
        <f t="shared" si="11"/>
        <v>0</v>
      </c>
      <c r="S41" s="484" t="b">
        <f t="shared" si="12"/>
        <v>0</v>
      </c>
      <c r="T41" s="475">
        <f t="shared" si="13"/>
        <v>0</v>
      </c>
      <c r="U41" s="485">
        <f t="shared" si="4"/>
        <v>0</v>
      </c>
      <c r="V41" s="483"/>
    </row>
    <row r="42" spans="2:22" ht="13.5" thickBot="1" x14ac:dyDescent="0.35">
      <c r="B42" s="473" t="s">
        <v>505</v>
      </c>
      <c r="C42" s="601">
        <v>4</v>
      </c>
      <c r="D42" s="475">
        <v>0</v>
      </c>
      <c r="E42" s="475">
        <v>8000</v>
      </c>
      <c r="F42" s="601">
        <v>5</v>
      </c>
      <c r="I42" s="474">
        <v>2061</v>
      </c>
      <c r="J42" s="484" t="b">
        <f t="shared" si="5"/>
        <v>0</v>
      </c>
      <c r="K42" s="484" t="b">
        <f t="shared" si="6"/>
        <v>0</v>
      </c>
      <c r="L42" s="484" t="b">
        <f t="shared" si="7"/>
        <v>0</v>
      </c>
      <c r="M42" s="475">
        <f t="shared" si="1"/>
        <v>0</v>
      </c>
      <c r="N42" s="484" t="b">
        <f t="shared" si="8"/>
        <v>0</v>
      </c>
      <c r="O42" s="484" t="b">
        <f t="shared" si="9"/>
        <v>0</v>
      </c>
      <c r="P42" s="484" t="b">
        <f t="shared" si="10"/>
        <v>0</v>
      </c>
      <c r="Q42" s="475">
        <f t="shared" si="2"/>
        <v>0</v>
      </c>
      <c r="R42" s="484" t="b">
        <f t="shared" si="11"/>
        <v>0</v>
      </c>
      <c r="S42" s="484" t="b">
        <f t="shared" si="12"/>
        <v>0</v>
      </c>
      <c r="T42" s="475">
        <f t="shared" si="13"/>
        <v>0</v>
      </c>
      <c r="U42" s="485">
        <f t="shared" si="4"/>
        <v>0</v>
      </c>
      <c r="V42" s="483"/>
    </row>
    <row r="43" spans="2:22" ht="13.5" thickBot="1" x14ac:dyDescent="0.35">
      <c r="I43" s="474">
        <v>2062</v>
      </c>
      <c r="J43" s="484" t="b">
        <f t="shared" si="5"/>
        <v>0</v>
      </c>
      <c r="K43" s="484" t="b">
        <f t="shared" si="6"/>
        <v>0</v>
      </c>
      <c r="L43" s="484" t="b">
        <f t="shared" si="7"/>
        <v>0</v>
      </c>
      <c r="M43" s="475">
        <f t="shared" si="1"/>
        <v>0</v>
      </c>
      <c r="N43" s="484" t="b">
        <f t="shared" si="8"/>
        <v>0</v>
      </c>
      <c r="O43" s="484" t="b">
        <f t="shared" si="9"/>
        <v>0</v>
      </c>
      <c r="P43" s="484" t="b">
        <f t="shared" si="10"/>
        <v>0</v>
      </c>
      <c r="Q43" s="475">
        <f t="shared" si="2"/>
        <v>0</v>
      </c>
      <c r="R43" s="484" t="b">
        <f t="shared" si="11"/>
        <v>0</v>
      </c>
      <c r="S43" s="484" t="b">
        <f t="shared" si="12"/>
        <v>0</v>
      </c>
      <c r="T43" s="475">
        <f t="shared" si="13"/>
        <v>0</v>
      </c>
      <c r="U43" s="485">
        <f t="shared" si="4"/>
        <v>0</v>
      </c>
      <c r="V43" s="483"/>
    </row>
    <row r="44" spans="2:22" ht="13.5" thickBot="1" x14ac:dyDescent="0.35">
      <c r="B44" s="508" t="s">
        <v>443</v>
      </c>
      <c r="I44" s="474">
        <v>2063</v>
      </c>
      <c r="J44" s="484" t="b">
        <f t="shared" si="5"/>
        <v>0</v>
      </c>
      <c r="K44" s="484" t="b">
        <f t="shared" si="6"/>
        <v>0</v>
      </c>
      <c r="L44" s="484" t="b">
        <f t="shared" si="7"/>
        <v>0</v>
      </c>
      <c r="M44" s="475">
        <f t="shared" si="1"/>
        <v>0</v>
      </c>
      <c r="N44" s="484" t="b">
        <f t="shared" si="8"/>
        <v>0</v>
      </c>
      <c r="O44" s="484" t="b">
        <f t="shared" si="9"/>
        <v>0</v>
      </c>
      <c r="P44" s="484" t="b">
        <f t="shared" si="10"/>
        <v>0</v>
      </c>
      <c r="Q44" s="475">
        <f t="shared" si="2"/>
        <v>0</v>
      </c>
      <c r="R44" s="484" t="b">
        <f t="shared" si="11"/>
        <v>0</v>
      </c>
      <c r="S44" s="484" t="b">
        <f t="shared" si="12"/>
        <v>0</v>
      </c>
      <c r="T44" s="475">
        <f t="shared" si="13"/>
        <v>0</v>
      </c>
      <c r="U44" s="485">
        <f t="shared" si="4"/>
        <v>0</v>
      </c>
      <c r="V44" s="483"/>
    </row>
    <row r="45" spans="2:22" ht="13.5" thickBot="1" x14ac:dyDescent="0.35">
      <c r="B45" s="476" t="s">
        <v>300</v>
      </c>
      <c r="C45" s="476" t="s">
        <v>389</v>
      </c>
      <c r="D45" s="476" t="s">
        <v>390</v>
      </c>
      <c r="I45" s="474">
        <v>2064</v>
      </c>
      <c r="J45" s="484" t="b">
        <f t="shared" si="5"/>
        <v>1</v>
      </c>
      <c r="K45" s="484" t="b">
        <f t="shared" si="6"/>
        <v>1</v>
      </c>
      <c r="L45" s="484" t="b">
        <f t="shared" si="7"/>
        <v>0</v>
      </c>
      <c r="M45" s="475">
        <f t="shared" si="1"/>
        <v>10719518.969810501</v>
      </c>
      <c r="N45" s="484" t="b">
        <f t="shared" si="8"/>
        <v>1</v>
      </c>
      <c r="O45" s="484" t="b">
        <f t="shared" si="9"/>
        <v>1</v>
      </c>
      <c r="P45" s="484" t="b">
        <f t="shared" si="10"/>
        <v>0</v>
      </c>
      <c r="Q45" s="475">
        <f t="shared" si="2"/>
        <v>4935691.5219400357</v>
      </c>
      <c r="R45" s="484" t="b">
        <f t="shared" si="11"/>
        <v>0</v>
      </c>
      <c r="S45" s="484" t="b">
        <f t="shared" si="12"/>
        <v>0</v>
      </c>
      <c r="T45" s="475">
        <f t="shared" si="13"/>
        <v>0</v>
      </c>
      <c r="U45" s="485">
        <f t="shared" si="4"/>
        <v>4935691.5219400357</v>
      </c>
      <c r="V45" s="483"/>
    </row>
    <row r="46" spans="2:22" ht="13.5" thickBot="1" x14ac:dyDescent="0.35">
      <c r="B46" s="473" t="s">
        <v>387</v>
      </c>
      <c r="C46" s="475">
        <f>SUM(E40*C40,E41,E42)</f>
        <v>583000</v>
      </c>
      <c r="D46" s="474">
        <v>10</v>
      </c>
      <c r="I46" s="474">
        <v>2065</v>
      </c>
      <c r="J46" s="484" t="b">
        <f t="shared" si="5"/>
        <v>0</v>
      </c>
      <c r="K46" s="484" t="b">
        <f t="shared" si="6"/>
        <v>0</v>
      </c>
      <c r="L46" s="484" t="b">
        <f t="shared" si="7"/>
        <v>0</v>
      </c>
      <c r="M46" s="475">
        <f t="shared" si="1"/>
        <v>0</v>
      </c>
      <c r="N46" s="484" t="b">
        <f t="shared" si="8"/>
        <v>0</v>
      </c>
      <c r="O46" s="484" t="b">
        <f t="shared" si="9"/>
        <v>0</v>
      </c>
      <c r="P46" s="484" t="b">
        <f t="shared" si="10"/>
        <v>0</v>
      </c>
      <c r="Q46" s="475">
        <f t="shared" si="2"/>
        <v>0</v>
      </c>
      <c r="R46" s="484" t="b">
        <f t="shared" si="11"/>
        <v>0</v>
      </c>
      <c r="S46" s="484" t="b">
        <f t="shared" si="12"/>
        <v>0</v>
      </c>
      <c r="T46" s="475">
        <f t="shared" si="13"/>
        <v>0</v>
      </c>
      <c r="U46" s="485">
        <f t="shared" si="4"/>
        <v>0</v>
      </c>
      <c r="V46" s="483"/>
    </row>
    <row r="47" spans="2:22" ht="13.5" thickBot="1" x14ac:dyDescent="0.35">
      <c r="B47" s="473" t="s">
        <v>388</v>
      </c>
      <c r="C47" s="475">
        <f>SUM(E37:E39)</f>
        <v>501000</v>
      </c>
      <c r="D47" s="474">
        <v>15</v>
      </c>
      <c r="I47" s="474">
        <v>2066</v>
      </c>
      <c r="J47" s="484" t="b">
        <f t="shared" si="5"/>
        <v>0</v>
      </c>
      <c r="K47" s="484" t="b">
        <f t="shared" si="6"/>
        <v>0</v>
      </c>
      <c r="L47" s="484" t="b">
        <f t="shared" si="7"/>
        <v>0</v>
      </c>
      <c r="M47" s="475">
        <f t="shared" si="1"/>
        <v>0</v>
      </c>
      <c r="N47" s="484" t="b">
        <f t="shared" si="8"/>
        <v>0</v>
      </c>
      <c r="O47" s="484" t="b">
        <f t="shared" si="9"/>
        <v>0</v>
      </c>
      <c r="P47" s="484" t="b">
        <f t="shared" si="10"/>
        <v>0</v>
      </c>
      <c r="Q47" s="475">
        <f t="shared" si="2"/>
        <v>0</v>
      </c>
      <c r="R47" s="484" t="b">
        <f t="shared" si="11"/>
        <v>0</v>
      </c>
      <c r="S47" s="484" t="b">
        <f t="shared" si="12"/>
        <v>0</v>
      </c>
      <c r="T47" s="475">
        <f t="shared" si="13"/>
        <v>0</v>
      </c>
      <c r="U47" s="485">
        <f t="shared" si="4"/>
        <v>0</v>
      </c>
      <c r="V47" s="483"/>
    </row>
    <row r="48" spans="2:22" ht="13.5" thickBot="1" x14ac:dyDescent="0.35">
      <c r="B48" s="508" t="s">
        <v>444</v>
      </c>
      <c r="I48" s="474"/>
      <c r="J48" s="484"/>
      <c r="K48" s="484"/>
      <c r="L48" s="484"/>
      <c r="M48" s="475"/>
      <c r="N48" s="484"/>
      <c r="O48" s="484"/>
      <c r="P48" s="484"/>
      <c r="Q48" s="475"/>
      <c r="R48" s="484"/>
      <c r="S48" s="484"/>
      <c r="T48" s="475"/>
      <c r="U48" s="485"/>
      <c r="V48" s="483"/>
    </row>
    <row r="49" spans="9:22" ht="13.5" thickBot="1" x14ac:dyDescent="0.35">
      <c r="I49" s="474"/>
      <c r="J49" s="484"/>
      <c r="K49" s="484"/>
      <c r="L49" s="484"/>
      <c r="M49" s="475"/>
      <c r="N49" s="484"/>
      <c r="O49" s="484"/>
      <c r="P49" s="484"/>
      <c r="Q49" s="475"/>
      <c r="R49" s="484"/>
      <c r="S49" s="484"/>
      <c r="T49" s="475"/>
      <c r="U49" s="485"/>
      <c r="V49" s="483"/>
    </row>
    <row r="50" spans="9:22" ht="13.5" thickBot="1" x14ac:dyDescent="0.35">
      <c r="I50" s="474"/>
      <c r="J50" s="484"/>
      <c r="K50" s="484"/>
      <c r="L50" s="484"/>
      <c r="M50" s="475"/>
      <c r="N50" s="484"/>
      <c r="O50" s="484"/>
      <c r="P50" s="484"/>
      <c r="Q50" s="475"/>
      <c r="R50" s="484"/>
      <c r="S50" s="484"/>
      <c r="T50" s="475"/>
      <c r="U50" s="485"/>
      <c r="V50" s="483"/>
    </row>
  </sheetData>
  <sheetProtection algorithmName="SHA-512" hashValue="cT+Gu74YuX6x/g+n5M+M5F2JsWQ1/tyjsRgawS39Ddov7VYIr+HoE+1OKLSqOOKKBgNAfyon7IIzbPJdfQU4/Q==" saltValue="QhvRgawiZuZAMemaC2iYH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Model Run</vt:lpstr>
      <vt:lpstr>Inputs</vt:lpstr>
      <vt:lpstr>Forecast_Summary</vt:lpstr>
      <vt:lpstr>Forecast_Landfill</vt:lpstr>
      <vt:lpstr>Forecast_Hauling</vt:lpstr>
      <vt:lpstr>Capital Reserve Account</vt:lpstr>
      <vt:lpstr>Closure &amp; PostClosure Account</vt:lpstr>
      <vt:lpstr>Capital Improvements Schedule</vt:lpstr>
      <vt:lpstr>Short-Lived Assets Schedule </vt:lpstr>
      <vt:lpstr>Short-Lived Assets Landfill</vt:lpstr>
      <vt:lpstr>Short-Lived Assets Hauling</vt:lpstr>
      <vt:lpstr>2 Yr-Interim</vt:lpstr>
      <vt:lpstr>40-Year Bond</vt:lpstr>
      <vt:lpstr>Capitol Costs</vt:lpstr>
      <vt:lpstr>APRA Eligible Expenses</vt:lpstr>
      <vt:lpstr>Post-Closure Costs</vt:lpstr>
      <vt:lpstr>Closure costs</vt:lpstr>
      <vt:lpstr>Cell A Costs</vt:lpstr>
      <vt:lpstr>Support Facilities Earthwork</vt:lpstr>
      <vt:lpstr>Cell B Costs</vt:lpstr>
      <vt:lpstr>Cell C Costs</vt:lpstr>
      <vt:lpstr>Cell D Costs</vt:lpstr>
      <vt:lpstr>Salary - Landfill</vt:lpstr>
      <vt:lpstr>Salary - Hauling</vt:lpstr>
      <vt:lpstr>Hauling Mileages</vt:lpstr>
      <vt:lpstr>Madison Hauling Costs</vt:lpstr>
      <vt:lpstr>Updated Equipment Summary</vt:lpstr>
      <vt:lpstr>Life Cycle</vt:lpstr>
      <vt:lpstr>Tons</vt:lpstr>
      <vt:lpstr>Array.Capital_Improvement_Construction_Cost</vt:lpstr>
      <vt:lpstr>Array.Capital_Improvement_Engineering_Cost</vt:lpstr>
      <vt:lpstr>Check</vt:lpstr>
      <vt:lpstr>End_Capital_Reserve_Account</vt:lpstr>
      <vt:lpstr>End_Closure_Account</vt:lpstr>
      <vt:lpstr>'Short-Lived Assets Hauling'!End_ERR_Hauling</vt:lpstr>
      <vt:lpstr>'Short-Lived Assets Landfill'!End_ERR_Landfill</vt:lpstr>
      <vt:lpstr>Expenses_Hauling</vt:lpstr>
      <vt:lpstr>Expenses_Landfill</vt:lpstr>
      <vt:lpstr>Hauling_Subsidy</vt:lpstr>
      <vt:lpstr>Inf</vt:lpstr>
      <vt:lpstr>Interest_LGIP</vt:lpstr>
      <vt:lpstr>'Cell B Costs'!Print_Area</vt:lpstr>
      <vt:lpstr>'Cell C Costs'!Print_Area</vt:lpstr>
      <vt:lpstr>'Cell D Costs'!Print_Area</vt:lpstr>
      <vt:lpstr>Forecast_Summary!Print_Area</vt:lpstr>
      <vt:lpstr>'Life Cycle'!Print_Area</vt:lpstr>
      <vt:lpstr>'Support Facilities Earthwork'!Print_Area</vt:lpstr>
      <vt:lpstr>Revenue_Hauling</vt:lpstr>
      <vt:lpstr>Revenue_Landfill</vt:lpstr>
      <vt:lpstr>Start_Capital_Reserve_Account</vt:lpstr>
      <vt:lpstr>Start_Closure_Account</vt:lpstr>
      <vt:lpstr>'Short-Lived Assets Hauling'!Start_ERR_Hauling</vt:lpstr>
      <vt:lpstr>'Short-Lived Assets Landfill'!Start_ERR_Landfill</vt:lpstr>
      <vt:lpstr>Table.Capital_Improvement_Construction</vt:lpstr>
      <vt:lpstr>Table.Capital_Improvement_Engineering</vt:lpstr>
    </vt:vector>
  </TitlesOfParts>
  <Company>CH2MHILL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dbreedlove@greatwesteng.com</dc:creator>
  <cp:lastModifiedBy>Cameron Arial</cp:lastModifiedBy>
  <cp:lastPrinted>2022-09-19T20:21:19Z</cp:lastPrinted>
  <dcterms:created xsi:type="dcterms:W3CDTF">2004-09-28T21:21:50Z</dcterms:created>
  <dcterms:modified xsi:type="dcterms:W3CDTF">2022-09-20T14:29:32Z</dcterms:modified>
</cp:coreProperties>
</file>